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MRRANK\Desktop\CAP dec 1 release\"/>
    </mc:Choice>
  </mc:AlternateContent>
  <xr:revisionPtr revIDLastSave="0" documentId="8_{72E7F54C-D83F-4F8E-86BB-B66FAD4010FA}" xr6:coauthVersionLast="47" xr6:coauthVersionMax="47" xr10:uidLastSave="{00000000-0000-0000-0000-000000000000}"/>
  <workbookProtection workbookAlgorithmName="SHA-512" workbookHashValue="N6rVnxLGlq/O0RsABKRj0j0zghLe8fyhxkMSDNqAKT0BbKvRBVZlZHSlkeWELL8vHWUdfGca7IM2G6/bidUAzg==" workbookSaltValue="5+OWypSmOdVAaPbfQOQwew==" workbookSpinCount="100000" lockStructure="1"/>
  <bookViews>
    <workbookView xWindow="28680" yWindow="-120" windowWidth="25440" windowHeight="15390" tabRatio="766" xr2:uid="{E8C2BA3A-79EB-42CC-97A9-C27167951506}"/>
  </bookViews>
  <sheets>
    <sheet name="Invoice" sheetId="3" r:id="rId1"/>
    <sheet name="Form Instructions" sheetId="6" r:id="rId2"/>
    <sheet name="Repair 1" sheetId="1" r:id="rId3"/>
    <sheet name="Repair 2" sheetId="71" r:id="rId4"/>
    <sheet name="Repair 3" sheetId="72" r:id="rId5"/>
    <sheet name="Repair 4" sheetId="73" r:id="rId6"/>
    <sheet name="Repair 5" sheetId="74" r:id="rId7"/>
    <sheet name="Dropdown" sheetId="4" state="hidden" r:id="rId8"/>
  </sheets>
  <definedNames>
    <definedName name="_xlnm.Print_Area" localSheetId="0">Invoice!$A$1:$I$26</definedName>
    <definedName name="_xlnm.Print_Area" localSheetId="2">'Repair 1'!$A$1:$I$42</definedName>
    <definedName name="_xlnm.Print_Area" localSheetId="3">'Repair 2'!$A$1:$I$42</definedName>
    <definedName name="_xlnm.Print_Area" localSheetId="4">'Repair 3'!$A$1:$I$42</definedName>
    <definedName name="_xlnm.Print_Area" localSheetId="5">'Repair 4'!$A$1:$I$42</definedName>
    <definedName name="_xlnm.Print_Area" localSheetId="6">'Repair 5'!$A$1:$I$42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74" l="1"/>
  <c r="Q34" i="74" s="1"/>
  <c r="S34" i="74" s="1"/>
  <c r="Q33" i="74"/>
  <c r="S33" i="74" s="1"/>
  <c r="K33" i="74"/>
  <c r="I33" i="74"/>
  <c r="I32" i="74"/>
  <c r="Q32" i="74" s="1"/>
  <c r="S32" i="74" s="1"/>
  <c r="Q31" i="74"/>
  <c r="S31" i="74" s="1"/>
  <c r="I31" i="74"/>
  <c r="I30" i="74"/>
  <c r="Q29" i="74"/>
  <c r="S29" i="74" s="1"/>
  <c r="I29" i="74"/>
  <c r="L33" i="74" s="1"/>
  <c r="I24" i="74"/>
  <c r="Q24" i="74" s="1"/>
  <c r="S24" i="74" s="1"/>
  <c r="Q23" i="74"/>
  <c r="S23" i="74" s="1"/>
  <c r="K23" i="74"/>
  <c r="M41" i="74" s="1"/>
  <c r="A41" i="74" s="1"/>
  <c r="I23" i="74"/>
  <c r="I22" i="74"/>
  <c r="Q22" i="74" s="1"/>
  <c r="S22" i="74" s="1"/>
  <c r="Q21" i="74"/>
  <c r="S21" i="74" s="1"/>
  <c r="I21" i="74"/>
  <c r="I20" i="74"/>
  <c r="Q20" i="74" s="1"/>
  <c r="S20" i="74" s="1"/>
  <c r="I19" i="74"/>
  <c r="Q19" i="74" s="1"/>
  <c r="S19" i="74" s="1"/>
  <c r="Q18" i="74"/>
  <c r="S18" i="74" s="1"/>
  <c r="I18" i="74"/>
  <c r="I17" i="74"/>
  <c r="Q17" i="74" s="1"/>
  <c r="S17" i="74" s="1"/>
  <c r="Q16" i="74"/>
  <c r="S16" i="74" s="1"/>
  <c r="I16" i="74"/>
  <c r="I15" i="74"/>
  <c r="Q15" i="74" s="1"/>
  <c r="S15" i="74" s="1"/>
  <c r="I14" i="74"/>
  <c r="Q14" i="74" s="1"/>
  <c r="S14" i="74" s="1"/>
  <c r="K13" i="74"/>
  <c r="K16" i="74" s="1"/>
  <c r="I13" i="74"/>
  <c r="L23" i="74" s="1"/>
  <c r="F9" i="74"/>
  <c r="S6" i="74"/>
  <c r="H6" i="74"/>
  <c r="F6" i="74"/>
  <c r="Q30" i="74" s="1"/>
  <c r="S30" i="74" s="1"/>
  <c r="B6" i="74"/>
  <c r="K4" i="74"/>
  <c r="F4" i="74"/>
  <c r="B4" i="74"/>
  <c r="M41" i="73"/>
  <c r="A41" i="73" s="1"/>
  <c r="K36" i="73"/>
  <c r="E41" i="73" s="1"/>
  <c r="I34" i="73"/>
  <c r="K33" i="73"/>
  <c r="I33" i="73"/>
  <c r="Q33" i="73" s="1"/>
  <c r="S33" i="73" s="1"/>
  <c r="I32" i="73"/>
  <c r="I31" i="73"/>
  <c r="I30" i="73"/>
  <c r="I29" i="73"/>
  <c r="L33" i="73" s="1"/>
  <c r="O26" i="73"/>
  <c r="K26" i="73"/>
  <c r="E26" i="73"/>
  <c r="A26" i="73"/>
  <c r="I24" i="73"/>
  <c r="Q24" i="73" s="1"/>
  <c r="S24" i="73" s="1"/>
  <c r="K23" i="73"/>
  <c r="I23" i="73"/>
  <c r="Q23" i="73" s="1"/>
  <c r="S23" i="73" s="1"/>
  <c r="I22" i="73"/>
  <c r="Q22" i="73" s="1"/>
  <c r="S22" i="73" s="1"/>
  <c r="I21" i="73"/>
  <c r="Q21" i="73" s="1"/>
  <c r="S21" i="73" s="1"/>
  <c r="I20" i="73"/>
  <c r="I19" i="73"/>
  <c r="I18" i="73"/>
  <c r="L23" i="73" s="1"/>
  <c r="I17" i="73"/>
  <c r="Q17" i="73" s="1"/>
  <c r="S17" i="73" s="1"/>
  <c r="K16" i="73"/>
  <c r="I16" i="73"/>
  <c r="I15" i="73"/>
  <c r="Q15" i="73" s="1"/>
  <c r="S15" i="73" s="1"/>
  <c r="I14" i="73"/>
  <c r="Q14" i="73" s="1"/>
  <c r="S14" i="73" s="1"/>
  <c r="K13" i="73"/>
  <c r="I13" i="73"/>
  <c r="F9" i="73"/>
  <c r="S6" i="73"/>
  <c r="H6" i="73"/>
  <c r="F6" i="73"/>
  <c r="Q31" i="73" s="1"/>
  <c r="S31" i="73" s="1"/>
  <c r="B6" i="73"/>
  <c r="K4" i="73"/>
  <c r="N13" i="73" s="1"/>
  <c r="F4" i="73"/>
  <c r="B4" i="73"/>
  <c r="I34" i="72"/>
  <c r="Q34" i="72" s="1"/>
  <c r="S34" i="72" s="1"/>
  <c r="Q33" i="72"/>
  <c r="S33" i="72" s="1"/>
  <c r="K33" i="72"/>
  <c r="I33" i="72"/>
  <c r="I32" i="72"/>
  <c r="Q32" i="72" s="1"/>
  <c r="S32" i="72" s="1"/>
  <c r="I31" i="72"/>
  <c r="I30" i="72"/>
  <c r="Q30" i="72" s="1"/>
  <c r="S30" i="72" s="1"/>
  <c r="Q29" i="72"/>
  <c r="S29" i="72" s="1"/>
  <c r="I29" i="72"/>
  <c r="L33" i="72" s="1"/>
  <c r="O26" i="72"/>
  <c r="E26" i="72" s="1"/>
  <c r="K26" i="72"/>
  <c r="Q24" i="72"/>
  <c r="S24" i="72" s="1"/>
  <c r="I24" i="72"/>
  <c r="K23" i="72"/>
  <c r="I23" i="72"/>
  <c r="Q23" i="72" s="1"/>
  <c r="S23" i="72" s="1"/>
  <c r="Q22" i="72"/>
  <c r="S22" i="72" s="1"/>
  <c r="I22" i="72"/>
  <c r="Q21" i="72"/>
  <c r="S21" i="72" s="1"/>
  <c r="I21" i="72"/>
  <c r="I20" i="72"/>
  <c r="Q20" i="72" s="1"/>
  <c r="S20" i="72" s="1"/>
  <c r="I19" i="72"/>
  <c r="Q19" i="72" s="1"/>
  <c r="S19" i="72" s="1"/>
  <c r="I18" i="72"/>
  <c r="Q18" i="72" s="1"/>
  <c r="S18" i="72" s="1"/>
  <c r="Q17" i="72"/>
  <c r="S17" i="72" s="1"/>
  <c r="I17" i="72"/>
  <c r="I16" i="72"/>
  <c r="Q16" i="72" s="1"/>
  <c r="S16" i="72" s="1"/>
  <c r="I15" i="72"/>
  <c r="Q15" i="72" s="1"/>
  <c r="S15" i="72" s="1"/>
  <c r="I14" i="72"/>
  <c r="Q14" i="72" s="1"/>
  <c r="S14" i="72" s="1"/>
  <c r="K13" i="72"/>
  <c r="I13" i="72"/>
  <c r="Q13" i="72" s="1"/>
  <c r="S13" i="72" s="1"/>
  <c r="F9" i="72"/>
  <c r="S6" i="72"/>
  <c r="H6" i="72"/>
  <c r="F6" i="72"/>
  <c r="Q31" i="72" s="1"/>
  <c r="S31" i="72" s="1"/>
  <c r="B6" i="72"/>
  <c r="K4" i="72"/>
  <c r="N13" i="72" s="1"/>
  <c r="F4" i="72"/>
  <c r="B4" i="72"/>
  <c r="K36" i="71"/>
  <c r="A36" i="71" s="1"/>
  <c r="I34" i="71"/>
  <c r="Q34" i="71" s="1"/>
  <c r="S34" i="71" s="1"/>
  <c r="Q33" i="71"/>
  <c r="S33" i="71" s="1"/>
  <c r="K33" i="71"/>
  <c r="I33" i="71"/>
  <c r="I32" i="71"/>
  <c r="Q32" i="71" s="1"/>
  <c r="S32" i="71" s="1"/>
  <c r="Q31" i="71"/>
  <c r="S31" i="71" s="1"/>
  <c r="I31" i="71"/>
  <c r="I30" i="71"/>
  <c r="Q30" i="71" s="1"/>
  <c r="S30" i="71" s="1"/>
  <c r="Q29" i="71"/>
  <c r="S29" i="71" s="1"/>
  <c r="S36" i="71" s="1"/>
  <c r="H36" i="71" s="1"/>
  <c r="I29" i="71"/>
  <c r="L33" i="71" s="1"/>
  <c r="O26" i="71"/>
  <c r="E26" i="71" s="1"/>
  <c r="K26" i="71"/>
  <c r="E41" i="71" s="1"/>
  <c r="I24" i="71"/>
  <c r="Q24" i="71" s="1"/>
  <c r="S24" i="71" s="1"/>
  <c r="K23" i="71"/>
  <c r="I23" i="71"/>
  <c r="Q23" i="71" s="1"/>
  <c r="S23" i="71" s="1"/>
  <c r="I22" i="71"/>
  <c r="Q22" i="71" s="1"/>
  <c r="S22" i="71" s="1"/>
  <c r="I21" i="71"/>
  <c r="Q21" i="71" s="1"/>
  <c r="S21" i="71" s="1"/>
  <c r="I20" i="71"/>
  <c r="Q20" i="71" s="1"/>
  <c r="S20" i="71" s="1"/>
  <c r="Q19" i="71"/>
  <c r="S19" i="71" s="1"/>
  <c r="I19" i="71"/>
  <c r="I18" i="71"/>
  <c r="Q18" i="71" s="1"/>
  <c r="S18" i="71" s="1"/>
  <c r="I17" i="71"/>
  <c r="Q17" i="71" s="1"/>
  <c r="S17" i="71" s="1"/>
  <c r="I16" i="71"/>
  <c r="Q16" i="71" s="1"/>
  <c r="S16" i="71" s="1"/>
  <c r="I15" i="71"/>
  <c r="Q15" i="71" s="1"/>
  <c r="S15" i="71" s="1"/>
  <c r="I14" i="71"/>
  <c r="Q14" i="71" s="1"/>
  <c r="S14" i="71" s="1"/>
  <c r="K13" i="71"/>
  <c r="I13" i="71"/>
  <c r="L23" i="71" s="1"/>
  <c r="F9" i="71"/>
  <c r="S6" i="71"/>
  <c r="O36" i="71" s="1"/>
  <c r="E36" i="71" s="1"/>
  <c r="H6" i="71"/>
  <c r="F6" i="71"/>
  <c r="B6" i="71"/>
  <c r="K4" i="71"/>
  <c r="N13" i="71" s="1"/>
  <c r="F4" i="71"/>
  <c r="B4" i="71"/>
  <c r="S6" i="1"/>
  <c r="E19" i="3"/>
  <c r="S36" i="74" l="1"/>
  <c r="H36" i="74" s="1"/>
  <c r="N41" i="74"/>
  <c r="B41" i="74" s="1"/>
  <c r="N13" i="74"/>
  <c r="Q13" i="74"/>
  <c r="S13" i="74" s="1"/>
  <c r="S26" i="74" s="1"/>
  <c r="K36" i="74"/>
  <c r="A36" i="74" s="1"/>
  <c r="N41" i="73"/>
  <c r="B41" i="73" s="1"/>
  <c r="Q20" i="73"/>
  <c r="S20" i="73" s="1"/>
  <c r="Q32" i="73"/>
  <c r="S32" i="73" s="1"/>
  <c r="Q13" i="73"/>
  <c r="S13" i="73" s="1"/>
  <c r="Q18" i="73"/>
  <c r="S18" i="73" s="1"/>
  <c r="Q34" i="73"/>
  <c r="S34" i="73" s="1"/>
  <c r="Q16" i="73"/>
  <c r="S16" i="73" s="1"/>
  <c r="A36" i="73"/>
  <c r="O36" i="73"/>
  <c r="E36" i="73" s="1"/>
  <c r="Q30" i="73"/>
  <c r="S30" i="73" s="1"/>
  <c r="Q29" i="73"/>
  <c r="S29" i="73" s="1"/>
  <c r="S36" i="73" s="1"/>
  <c r="H36" i="73" s="1"/>
  <c r="Q19" i="73"/>
  <c r="S19" i="73" s="1"/>
  <c r="T36" i="72"/>
  <c r="S26" i="72"/>
  <c r="S36" i="72"/>
  <c r="H36" i="72" s="1"/>
  <c r="E41" i="72"/>
  <c r="K16" i="72"/>
  <c r="L23" i="72"/>
  <c r="N41" i="72" s="1"/>
  <c r="B41" i="72" s="1"/>
  <c r="K36" i="72"/>
  <c r="A36" i="72" s="1"/>
  <c r="M41" i="72"/>
  <c r="A41" i="72" s="1"/>
  <c r="A26" i="72"/>
  <c r="O36" i="72"/>
  <c r="E36" i="72" s="1"/>
  <c r="T26" i="71"/>
  <c r="N41" i="71"/>
  <c r="B41" i="71" s="1"/>
  <c r="T36" i="71"/>
  <c r="M41" i="71"/>
  <c r="A41" i="71" s="1"/>
  <c r="Q13" i="71"/>
  <c r="S13" i="71" s="1"/>
  <c r="S26" i="71" s="1"/>
  <c r="K16" i="71"/>
  <c r="A26" i="71"/>
  <c r="F16" i="3" a="1"/>
  <c r="C13" i="3" a="1"/>
  <c r="F13" i="3" a="1"/>
  <c r="F14" i="3" a="1"/>
  <c r="F15" i="3" a="1"/>
  <c r="D16" i="3" a="1"/>
  <c r="B15" i="3" a="1"/>
  <c r="D14" i="3" a="1"/>
  <c r="C16" i="3" a="1"/>
  <c r="E16" i="3" a="1"/>
  <c r="C14" i="3" a="1"/>
  <c r="E13" i="3" a="1"/>
  <c r="D15" i="3" a="1"/>
  <c r="D13" i="3" a="1"/>
  <c r="B14" i="3" a="1"/>
  <c r="B13" i="3" a="1"/>
  <c r="E15" i="3" a="1"/>
  <c r="B16" i="3" a="1"/>
  <c r="E14" i="3" a="1"/>
  <c r="C15" i="3" a="1"/>
  <c r="T36" i="74" l="1"/>
  <c r="P41" i="74"/>
  <c r="C41" i="74" s="1"/>
  <c r="H26" i="74"/>
  <c r="T26" i="74"/>
  <c r="K26" i="74" s="1"/>
  <c r="E41" i="74" s="1"/>
  <c r="T36" i="73"/>
  <c r="S26" i="73"/>
  <c r="P41" i="72"/>
  <c r="C41" i="72" s="1"/>
  <c r="H26" i="72"/>
  <c r="T26" i="72"/>
  <c r="I36" i="72"/>
  <c r="O33" i="72"/>
  <c r="Q41" i="71"/>
  <c r="K19" i="71"/>
  <c r="K29" i="71"/>
  <c r="I26" i="71"/>
  <c r="Q26" i="71"/>
  <c r="M26" i="71"/>
  <c r="P41" i="71"/>
  <c r="C41" i="71" s="1"/>
  <c r="H26" i="71"/>
  <c r="Q36" i="71"/>
  <c r="I36" i="71"/>
  <c r="O33" i="71"/>
  <c r="K4" i="1"/>
  <c r="F16" i="3"/>
  <c r="F15" i="3"/>
  <c r="F13" i="3"/>
  <c r="F14" i="3"/>
  <c r="E14" i="3"/>
  <c r="E16" i="3"/>
  <c r="E13" i="3"/>
  <c r="E15" i="3"/>
  <c r="D14" i="3"/>
  <c r="D16" i="3"/>
  <c r="D13" i="3"/>
  <c r="D15" i="3"/>
  <c r="C15" i="3"/>
  <c r="C16" i="3"/>
  <c r="C14" i="3"/>
  <c r="C13" i="3"/>
  <c r="B14" i="3"/>
  <c r="B16" i="3"/>
  <c r="B13" i="3"/>
  <c r="B15" i="3"/>
  <c r="I14" i="1"/>
  <c r="F6" i="1"/>
  <c r="B12" i="3" a="1"/>
  <c r="C12" i="3" a="1"/>
  <c r="A26" i="74" l="1"/>
  <c r="I36" i="74"/>
  <c r="O33" i="74"/>
  <c r="K19" i="74"/>
  <c r="K29" i="74"/>
  <c r="Q41" i="74"/>
  <c r="I26" i="74"/>
  <c r="Q26" i="74"/>
  <c r="P41" i="73"/>
  <c r="C41" i="73" s="1"/>
  <c r="H26" i="73"/>
  <c r="T26" i="73"/>
  <c r="O33" i="73"/>
  <c r="I36" i="73"/>
  <c r="Q41" i="72"/>
  <c r="K29" i="72"/>
  <c r="I26" i="72"/>
  <c r="K19" i="72"/>
  <c r="Q26" i="72"/>
  <c r="M26" i="72"/>
  <c r="G36" i="71"/>
  <c r="M36" i="71"/>
  <c r="C36" i="71" s="1"/>
  <c r="M33" i="71"/>
  <c r="D41" i="71"/>
  <c r="C26" i="71"/>
  <c r="S41" i="71"/>
  <c r="G41" i="71" s="1"/>
  <c r="O38" i="71"/>
  <c r="G26" i="71"/>
  <c r="T41" i="71"/>
  <c r="I41" i="71" s="1"/>
  <c r="H41" i="71" s="1"/>
  <c r="O30" i="71" s="1"/>
  <c r="Q24" i="1"/>
  <c r="S24" i="1" s="1"/>
  <c r="Q32" i="1"/>
  <c r="S32" i="1" s="1"/>
  <c r="Q33" i="1"/>
  <c r="S33" i="1" s="1"/>
  <c r="Q34" i="1"/>
  <c r="S34" i="1" s="1"/>
  <c r="Q29" i="1"/>
  <c r="S29" i="1" s="1"/>
  <c r="Q30" i="1"/>
  <c r="S30" i="1" s="1"/>
  <c r="Q31" i="1"/>
  <c r="S31" i="1" s="1"/>
  <c r="Q14" i="1"/>
  <c r="S14" i="1" s="1"/>
  <c r="K13" i="1"/>
  <c r="N13" i="1"/>
  <c r="B12" i="3"/>
  <c r="C12" i="3"/>
  <c r="J2" i="3" s="1" a="1"/>
  <c r="J2" i="3" s="1"/>
  <c r="G15" i="3" a="1"/>
  <c r="G14" i="3" a="1"/>
  <c r="G16" i="3" a="1"/>
  <c r="G13" i="3" a="1"/>
  <c r="O26" i="74" l="1"/>
  <c r="E26" i="74" s="1"/>
  <c r="D41" i="74"/>
  <c r="M33" i="74"/>
  <c r="G26" i="74"/>
  <c r="Q36" i="74"/>
  <c r="Q41" i="73"/>
  <c r="K29" i="73"/>
  <c r="I26" i="73"/>
  <c r="K19" i="73"/>
  <c r="Q26" i="73"/>
  <c r="M26" i="73"/>
  <c r="C26" i="72"/>
  <c r="G26" i="72"/>
  <c r="Q36" i="72"/>
  <c r="M33" i="72"/>
  <c r="D41" i="72"/>
  <c r="F41" i="71"/>
  <c r="G13" i="3"/>
  <c r="G14" i="3"/>
  <c r="K16" i="1"/>
  <c r="G16" i="3"/>
  <c r="G15" i="3"/>
  <c r="D12" i="3" a="1"/>
  <c r="O36" i="74" l="1"/>
  <c r="E36" i="74" s="1"/>
  <c r="M26" i="74"/>
  <c r="C26" i="74" s="1"/>
  <c r="G36" i="74"/>
  <c r="O38" i="74"/>
  <c r="C26" i="73"/>
  <c r="G26" i="73"/>
  <c r="Q36" i="73"/>
  <c r="M33" i="73"/>
  <c r="D41" i="73"/>
  <c r="G36" i="72"/>
  <c r="M36" i="72"/>
  <c r="T41" i="72"/>
  <c r="I41" i="72" s="1"/>
  <c r="H41" i="72" s="1"/>
  <c r="O30" i="72" s="1"/>
  <c r="O38" i="72"/>
  <c r="D12" i="3"/>
  <c r="I29" i="1"/>
  <c r="I15" i="1"/>
  <c r="Q15" i="1" s="1"/>
  <c r="S15" i="1" s="1"/>
  <c r="M36" i="74" l="1"/>
  <c r="S41" i="74" s="1"/>
  <c r="G41" i="74" s="1"/>
  <c r="T41" i="74"/>
  <c r="I41" i="74" s="1"/>
  <c r="H41" i="74" s="1"/>
  <c r="O30" i="74" s="1"/>
  <c r="G36" i="73"/>
  <c r="M36" i="73"/>
  <c r="T41" i="73"/>
  <c r="I41" i="73" s="1"/>
  <c r="H41" i="73" s="1"/>
  <c r="O30" i="73" s="1"/>
  <c r="O38" i="73"/>
  <c r="C36" i="72"/>
  <c r="F41" i="72"/>
  <c r="S41" i="72"/>
  <c r="G41" i="72" s="1"/>
  <c r="I13" i="3" a="1"/>
  <c r="I14" i="3" a="1"/>
  <c r="I15" i="3" a="1"/>
  <c r="F41" i="74" l="1"/>
  <c r="C36" i="74"/>
  <c r="C36" i="73"/>
  <c r="F41" i="73"/>
  <c r="S41" i="73"/>
  <c r="G41" i="73" s="1"/>
  <c r="I15" i="3"/>
  <c r="I14" i="3"/>
  <c r="I13" i="3"/>
  <c r="F4" i="1"/>
  <c r="H14" i="3" a="1"/>
  <c r="H15" i="3" a="1"/>
  <c r="I16" i="3" a="1"/>
  <c r="H13" i="3" a="1"/>
  <c r="H14" i="3" l="1"/>
  <c r="I16" i="3"/>
  <c r="H13" i="3"/>
  <c r="H15" i="3"/>
  <c r="F9" i="1"/>
  <c r="H16" i="3" a="1"/>
  <c r="H16" i="3" l="1"/>
  <c r="H6" i="1"/>
  <c r="K23" i="1" l="1"/>
  <c r="I30" i="1" l="1"/>
  <c r="I31" i="1"/>
  <c r="I32" i="1"/>
  <c r="I33" i="1"/>
  <c r="I34" i="1"/>
  <c r="B6" i="1" l="1"/>
  <c r="B4" i="1"/>
  <c r="L33" i="1"/>
  <c r="K33" i="1"/>
  <c r="M41" i="1" s="1"/>
  <c r="A41" i="1" s="1"/>
  <c r="I16" i="1"/>
  <c r="Q16" i="1" s="1"/>
  <c r="S16" i="1" s="1"/>
  <c r="I17" i="1"/>
  <c r="Q17" i="1" s="1"/>
  <c r="S17" i="1" s="1"/>
  <c r="I18" i="1"/>
  <c r="Q18" i="1" s="1"/>
  <c r="S18" i="1" s="1"/>
  <c r="I19" i="1"/>
  <c r="Q19" i="1" s="1"/>
  <c r="S19" i="1" s="1"/>
  <c r="I20" i="1"/>
  <c r="Q20" i="1" s="1"/>
  <c r="S20" i="1" s="1"/>
  <c r="I21" i="1"/>
  <c r="Q21" i="1" s="1"/>
  <c r="S21" i="1" s="1"/>
  <c r="I22" i="1"/>
  <c r="Q22" i="1" s="1"/>
  <c r="S22" i="1" s="1"/>
  <c r="I23" i="1"/>
  <c r="Q23" i="1" s="1"/>
  <c r="S23" i="1" s="1"/>
  <c r="I24" i="1"/>
  <c r="I13" i="1"/>
  <c r="Q13" i="1" s="1"/>
  <c r="S13" i="1" s="1"/>
  <c r="E12" i="3" a="1"/>
  <c r="S26" i="1" l="1"/>
  <c r="E12" i="3"/>
  <c r="L23" i="1"/>
  <c r="N41" i="1" l="1"/>
  <c r="B41" i="1" s="1"/>
  <c r="S36" i="1"/>
  <c r="H36" i="1" s="1"/>
  <c r="H26" i="1"/>
  <c r="F12" i="3" a="1"/>
  <c r="F12" i="3" l="1"/>
  <c r="T26" i="1"/>
  <c r="K26" i="1" s="1"/>
  <c r="T36" i="1"/>
  <c r="K36" i="1" s="1"/>
  <c r="P41" i="1"/>
  <c r="C41" i="1" s="1"/>
  <c r="G12" i="3" a="1"/>
  <c r="Q26" i="1" l="1"/>
  <c r="K29" i="1"/>
  <c r="K19" i="1"/>
  <c r="G12" i="3"/>
  <c r="I26" i="1"/>
  <c r="A36" i="1"/>
  <c r="I36" i="1"/>
  <c r="Q41" i="1"/>
  <c r="O26" i="1" l="1"/>
  <c r="M26" i="1" s="1"/>
  <c r="Q36" i="1"/>
  <c r="M33" i="1"/>
  <c r="O33" i="1" s="1"/>
  <c r="D41" i="1"/>
  <c r="G26" i="1"/>
  <c r="E41" i="1"/>
  <c r="A26" i="1"/>
  <c r="O36" i="1" l="1"/>
  <c r="M36" i="1" s="1"/>
  <c r="O38" i="1"/>
  <c r="C26" i="1"/>
  <c r="E26" i="1"/>
  <c r="G36" i="1"/>
  <c r="T41" i="1" l="1"/>
  <c r="I41" i="1" s="1"/>
  <c r="C36" i="1"/>
  <c r="E36" i="1"/>
  <c r="I12" i="3" a="1"/>
  <c r="I12" i="3" l="1"/>
  <c r="I17" i="3" s="1"/>
  <c r="H41" i="1"/>
  <c r="S41" i="1"/>
  <c r="G41" i="1" s="1"/>
  <c r="F41" i="1"/>
  <c r="H12" i="3" a="1"/>
  <c r="H12" i="3" l="1"/>
  <c r="O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dca</author>
    <author>Cone, Joshua@DCA</author>
  </authors>
  <commentList>
    <comment ref="B5" authorId="0" shapeId="0" xr:uid="{00000000-0006-0000-0A00-000001000000}">
      <text>
        <r>
          <rPr>
            <sz val="8"/>
            <color indexed="81"/>
            <rFont val="Tahoma"/>
            <family val="2"/>
          </rPr>
          <t>Insert Station ARD Number (6-digits)</t>
        </r>
      </text>
    </comment>
    <comment ref="B6" authorId="0" shapeId="0" xr:uid="{00000000-0006-0000-0A00-000002000000}">
      <text>
        <r>
          <rPr>
            <sz val="8"/>
            <color indexed="81"/>
            <rFont val="Tahoma"/>
            <family val="2"/>
          </rPr>
          <t>Insert Station Name</t>
        </r>
      </text>
    </comment>
    <comment ref="B7" authorId="0" shapeId="0" xr:uid="{00000000-0006-0000-0A00-000003000000}">
      <text>
        <r>
          <rPr>
            <sz val="8"/>
            <color indexed="81"/>
            <rFont val="Tahoma"/>
            <family val="2"/>
          </rPr>
          <t>Insert Mailing Address</t>
        </r>
      </text>
    </comment>
    <comment ref="G7" authorId="0" shapeId="0" xr:uid="{00000000-0006-0000-0A00-000005000000}">
      <text>
        <r>
          <rPr>
            <sz val="8"/>
            <color indexed="81"/>
            <rFont val="Tahoma"/>
            <family val="2"/>
          </rPr>
          <t>Insert Stations Billing Invoice Number</t>
        </r>
      </text>
    </comment>
    <comment ref="I7" authorId="0" shapeId="0" xr:uid="{00000000-0006-0000-0A00-000006000000}">
      <text>
        <r>
          <rPr>
            <sz val="8"/>
            <color indexed="81"/>
            <rFont val="Tahoma"/>
            <family val="2"/>
          </rPr>
          <t>Insert Labor Rate on file with CAP</t>
        </r>
      </text>
    </comment>
    <comment ref="B8" authorId="0" shapeId="0" xr:uid="{00000000-0006-0000-0A00-000004000000}">
      <text>
        <r>
          <rPr>
            <sz val="8"/>
            <color indexed="81"/>
            <rFont val="Tahoma"/>
            <family val="2"/>
          </rPr>
          <t>Insert Mailing City</t>
        </r>
      </text>
    </comment>
    <comment ref="G8" authorId="1" shapeId="0" xr:uid="{3FE036D2-9B5F-4D2B-8D11-287B0750F49A}">
      <text>
        <r>
          <rPr>
            <sz val="8"/>
            <color indexed="81"/>
            <rFont val="Tahoma"/>
            <family val="2"/>
          </rPr>
          <t>Insert Mailing Zip Code</t>
        </r>
      </text>
    </comment>
    <comment ref="B9" authorId="0" shapeId="0" xr:uid="{00000000-0006-0000-0A00-000007000000}">
      <text>
        <r>
          <rPr>
            <sz val="8"/>
            <color indexed="81"/>
            <rFont val="Tahoma"/>
            <family val="2"/>
          </rPr>
          <t>Insert Phone Number</t>
        </r>
      </text>
    </comment>
    <comment ref="E9" authorId="0" shapeId="0" xr:uid="{00000000-0006-0000-0A00-000008000000}">
      <text>
        <r>
          <rPr>
            <sz val="8"/>
            <color indexed="81"/>
            <rFont val="Tahoma"/>
            <family val="2"/>
          </rPr>
          <t>Insert Email or FAX number</t>
        </r>
      </text>
    </comment>
    <comment ref="I9" authorId="0" shapeId="0" xr:uid="{00000000-0006-0000-0A00-00000A000000}">
      <text>
        <r>
          <rPr>
            <sz val="8"/>
            <color indexed="81"/>
            <rFont val="Tahoma"/>
            <family val="2"/>
          </rPr>
          <t>Insert Tax Rate on file with CAP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Joshua@DCA</author>
  </authors>
  <commentList>
    <comment ref="B4" authorId="0" shapeId="0" xr:uid="{ECDE9E4E-4880-4EA7-BC0B-400975191249}">
      <text>
        <r>
          <rPr>
            <sz val="9"/>
            <color indexed="81"/>
            <rFont val="Tahoma"/>
            <family val="2"/>
          </rPr>
          <t>Fill out the Invoice tab to populate station information.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Joshua@DCA</author>
  </authors>
  <commentList>
    <comment ref="B4" authorId="0" shapeId="0" xr:uid="{E4070D3B-2383-4DFD-956D-8D99A6BCDD18}">
      <text>
        <r>
          <rPr>
            <sz val="9"/>
            <color indexed="81"/>
            <rFont val="Tahoma"/>
            <family val="2"/>
          </rPr>
          <t>Fill out the Invoice tab to populate station information.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Joshua@DCA</author>
  </authors>
  <commentList>
    <comment ref="B4" authorId="0" shapeId="0" xr:uid="{CEF5B4C5-1AF2-4289-87B7-2F6579C1663F}">
      <text>
        <r>
          <rPr>
            <sz val="9"/>
            <color indexed="81"/>
            <rFont val="Tahoma"/>
            <family val="2"/>
          </rPr>
          <t>Fill out the Invoice tab to populate station information.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Joshua@DCA</author>
  </authors>
  <commentList>
    <comment ref="B4" authorId="0" shapeId="0" xr:uid="{4264D7FE-054B-4962-B699-6F7788780A34}">
      <text>
        <r>
          <rPr>
            <sz val="9"/>
            <color indexed="81"/>
            <rFont val="Tahoma"/>
            <family val="2"/>
          </rPr>
          <t>Fill out the Invoice tab to populate station information.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Joshua@DCA</author>
  </authors>
  <commentList>
    <comment ref="B4" authorId="0" shapeId="0" xr:uid="{67B42956-DDB8-4860-95A9-01F45EDA5F69}">
      <text>
        <r>
          <rPr>
            <sz val="9"/>
            <color indexed="81"/>
            <rFont val="Tahoma"/>
            <family val="2"/>
          </rPr>
          <t>Fill out the Invoice tab to populate station information.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<sst xmlns="http://schemas.openxmlformats.org/spreadsheetml/2006/main" count="680" uniqueCount="269">
  <si>
    <t>SECTION 1 - STATION &amp; CONSUMER INFORMATION</t>
  </si>
  <si>
    <t>Station Name</t>
  </si>
  <si>
    <t>Consumer Last Name</t>
  </si>
  <si>
    <t>Lic Plate #</t>
  </si>
  <si>
    <t>CAP ID #</t>
  </si>
  <si>
    <t>ARD #</t>
  </si>
  <si>
    <t>Vehicle Year</t>
  </si>
  <si>
    <t>Labor Rate</t>
  </si>
  <si>
    <t>Tech Lic #</t>
  </si>
  <si>
    <t>RO Ref #</t>
  </si>
  <si>
    <t>Labor Guide</t>
  </si>
  <si>
    <t>Date</t>
  </si>
  <si>
    <t>Tax Rate</t>
  </si>
  <si>
    <t>Labor Total</t>
  </si>
  <si>
    <t>Parts Quantity</t>
  </si>
  <si>
    <t>Parts Price</t>
  </si>
  <si>
    <t>Parts Total</t>
  </si>
  <si>
    <t>Repair Notification #1</t>
  </si>
  <si>
    <t>Print Name</t>
  </si>
  <si>
    <t>Notification #1 Total</t>
  </si>
  <si>
    <t>Additionally approved CAP funds</t>
  </si>
  <si>
    <t>Consumer Co-Pay (20% of total)</t>
  </si>
  <si>
    <t>Tax</t>
  </si>
  <si>
    <t>Consumer Paid Over CAP amount</t>
  </si>
  <si>
    <t>Repair Notification #2</t>
  </si>
  <si>
    <t>Notification #2 Total</t>
  </si>
  <si>
    <t>ARD Phone #</t>
  </si>
  <si>
    <t>Title</t>
  </si>
  <si>
    <t>Signature</t>
  </si>
  <si>
    <t>CAP Funds   (up to $500)</t>
  </si>
  <si>
    <t>Grand Total</t>
  </si>
  <si>
    <t>Total Tax</t>
  </si>
  <si>
    <t>CAP Grand Total</t>
  </si>
  <si>
    <t>Consumer Grand Total</t>
  </si>
  <si>
    <t>*Approval of this invoice is hereby given for services rendered in conformance with Section 44062.1 of the Health &amp; Safety Code, by a "STAR" station certified per Section 44014.2 of the Health &amp; Safety Code.</t>
  </si>
  <si>
    <t>For Accounting  Use Only</t>
  </si>
  <si>
    <t>Total CAP Reimbursement</t>
  </si>
  <si>
    <t>(-) Consumer Paid</t>
  </si>
  <si>
    <t>Sales Tax</t>
  </si>
  <si>
    <t>Parts</t>
  </si>
  <si>
    <t>Labor</t>
  </si>
  <si>
    <t>Vehicle License Number</t>
  </si>
  <si>
    <t>Repair Order Date</t>
  </si>
  <si>
    <t>CAP ID Number</t>
  </si>
  <si>
    <t>Repair Form #</t>
  </si>
  <si>
    <t>Stations Billing Invoice #</t>
  </si>
  <si>
    <t>Address</t>
  </si>
  <si>
    <t>Name</t>
  </si>
  <si>
    <t>Toll Free Phone (866) 361-3933</t>
  </si>
  <si>
    <t>ARD</t>
  </si>
  <si>
    <t>CAP ID Total</t>
  </si>
  <si>
    <t>RN #1 Subtotals</t>
  </si>
  <si>
    <t>RN #1 Total</t>
  </si>
  <si>
    <t>I3 for Formulas</t>
  </si>
  <si>
    <t>RN #2 Total</t>
  </si>
  <si>
    <t>RN #2 Subtotals</t>
  </si>
  <si>
    <t>CAP Total</t>
  </si>
  <si>
    <t>&lt;&lt;&lt;Air Injection&gt;&gt;&gt;</t>
  </si>
  <si>
    <t>All Data</t>
  </si>
  <si>
    <t>AIR Check Valve</t>
  </si>
  <si>
    <t>Chilton</t>
  </si>
  <si>
    <t>AIR Management Valve</t>
  </si>
  <si>
    <t>Manufacturer's Warranty Time</t>
  </si>
  <si>
    <t>AIR, Other</t>
  </si>
  <si>
    <t>Mitchell</t>
  </si>
  <si>
    <t>AIR Tubes</t>
  </si>
  <si>
    <t>Motors</t>
  </si>
  <si>
    <t>AIR Vacuum</t>
  </si>
  <si>
    <t>Quick Quote</t>
  </si>
  <si>
    <t>AIR Pump</t>
  </si>
  <si>
    <t>Shop Key</t>
  </si>
  <si>
    <t>AIR Pump Drive Belt</t>
  </si>
  <si>
    <t>Triad</t>
  </si>
  <si>
    <t>&lt;&lt;&lt;Carburetor&gt;&gt;&gt;</t>
  </si>
  <si>
    <t>Other</t>
  </si>
  <si>
    <t>Carburetor, Adjust RPM To Set Timing</t>
  </si>
  <si>
    <t>Carburetor, Adjust Idle</t>
  </si>
  <si>
    <t>Carburetor, Air Filter Replacement</t>
  </si>
  <si>
    <t>Carburetor, Air Fuel Adjustment</t>
  </si>
  <si>
    <t>Carburetor, Idle Adjustment (for TSI test)</t>
  </si>
  <si>
    <t>Carburetor, Idle Adjustment (to set timing)</t>
  </si>
  <si>
    <t>Carburetor, Base Gasket</t>
  </si>
  <si>
    <t xml:space="preserve">Carburetor, Overhaul </t>
  </si>
  <si>
    <t>Carburetor, New</t>
  </si>
  <si>
    <t>Carburetor, Remanufactured</t>
  </si>
  <si>
    <t>Carburetor, Other</t>
  </si>
  <si>
    <t>Mixture Control Solenoid</t>
  </si>
  <si>
    <t>&lt;&lt;&lt;Catalytic Converter&gt;&gt;&gt;</t>
  </si>
  <si>
    <t>Catalytic Converter, Flange Repair/Install</t>
  </si>
  <si>
    <t>Catalytic Converter Replace</t>
  </si>
  <si>
    <t>Head Pipe Repair/Replace</t>
  </si>
  <si>
    <t>Catalytic Converter Gaskets</t>
  </si>
  <si>
    <t>&lt;&lt;&lt;Cooling System&gt;&gt;&gt;</t>
  </si>
  <si>
    <t>Cooling System, Thermostat</t>
  </si>
  <si>
    <t>Cooling System, Other</t>
  </si>
  <si>
    <t>Engine Coolant</t>
  </si>
  <si>
    <t>Thermostat Gasket</t>
  </si>
  <si>
    <t>&lt;&lt;&lt;EGR&gt;&gt;&gt;</t>
  </si>
  <si>
    <t>EGR Modulator</t>
  </si>
  <si>
    <t>EGR Passage Cleaning (Blocked)</t>
  </si>
  <si>
    <t>EGR Passage Cleaning (Restricted)</t>
  </si>
  <si>
    <t>EGR Transducer</t>
  </si>
  <si>
    <t>EGR Vacuum Hose Repair/Replace</t>
  </si>
  <si>
    <t>EGR Valve</t>
  </si>
  <si>
    <t>EGR, Other</t>
  </si>
  <si>
    <t>EGR Wiring</t>
  </si>
  <si>
    <t>EGR Position Sensor</t>
  </si>
  <si>
    <t>EGR Pressure Differential Pressure Sensor</t>
  </si>
  <si>
    <t>EGR Vacuum Switching Valve</t>
  </si>
  <si>
    <t>EGR Solenoid</t>
  </si>
  <si>
    <t>&lt;&lt;&lt;Engine Mechanical&gt;&gt;&gt;</t>
  </si>
  <si>
    <t>Engine Replacement</t>
  </si>
  <si>
    <t>Engine Camshaft Timing</t>
  </si>
  <si>
    <t>Engine Timing Belt</t>
  </si>
  <si>
    <t>Engine Timing Chain</t>
  </si>
  <si>
    <t>Engine Valve Job</t>
  </si>
  <si>
    <t>Exhaust Pipe</t>
  </si>
  <si>
    <t>Engine Mechanical, Other</t>
  </si>
  <si>
    <t>Exhaust Manifold</t>
  </si>
  <si>
    <t>Exhaust Manifold Gasket</t>
  </si>
  <si>
    <t>Intake Manifold Gaskets</t>
  </si>
  <si>
    <t>Valve Cover Gaskets</t>
  </si>
  <si>
    <t>Variable Valve Timing Solenoid</t>
  </si>
  <si>
    <t>&lt;&lt;&lt;Fuel Delivery&gt;&gt;&gt;</t>
  </si>
  <si>
    <t>Fuel Leak Repair</t>
  </si>
  <si>
    <t>Fuel Pump, Electric</t>
  </si>
  <si>
    <t>Fuel Pump, Mechanical</t>
  </si>
  <si>
    <t>&lt;&lt;&lt;Fuel Evaporation&gt;&gt;&gt;</t>
  </si>
  <si>
    <t>Evaporative Canister</t>
  </si>
  <si>
    <t>Fuel Cap</t>
  </si>
  <si>
    <t>Evaporative Valve/Solenoid, Other</t>
  </si>
  <si>
    <t>Evaporative System, Other</t>
  </si>
  <si>
    <t>Evaporative Hose</t>
  </si>
  <si>
    <t>Evaporative Purge Valve/Solenoid</t>
  </si>
  <si>
    <t>Evaporative Vent Valve/Solenoid</t>
  </si>
  <si>
    <t>Fuel Tank Pressure Sensor</t>
  </si>
  <si>
    <t>Rollover/Shutoff Valve</t>
  </si>
  <si>
    <t>Fuel Filler Hose</t>
  </si>
  <si>
    <t>Fuel Tank O-Ring/Gasket</t>
  </si>
  <si>
    <t>Leak Detection Pump</t>
  </si>
  <si>
    <t>Fuel Tank, Sender Gasket</t>
  </si>
  <si>
    <t>Sender Assembly/Fuel Pump</t>
  </si>
  <si>
    <t>Sender Gasket</t>
  </si>
  <si>
    <t>&lt;&lt;&lt;Fuel Injection&gt;&gt;&gt;</t>
  </si>
  <si>
    <t>Fuel Injection, Adjust RPM To Set Timing</t>
  </si>
  <si>
    <t>Fuel Injection, Adjust Idle</t>
  </si>
  <si>
    <t>Fuel Injection, Air Filter Replacement</t>
  </si>
  <si>
    <t>Fuel Injector</t>
  </si>
  <si>
    <t>Fuel Injector Seal</t>
  </si>
  <si>
    <t>Fuel Injection Throttle Body</t>
  </si>
  <si>
    <t>Fuel Injection Throttle Body Gasket</t>
  </si>
  <si>
    <t>Fuel Injection, Other</t>
  </si>
  <si>
    <t>Air Intake Boot</t>
  </si>
  <si>
    <t>Fuel Pressure Regulator</t>
  </si>
  <si>
    <t>Variable Intake Tuning Actuator</t>
  </si>
  <si>
    <t>Variable Intake Tuning Actuator Bushing</t>
  </si>
  <si>
    <t>Variable Intake Tuning Actuator Rod Retainer</t>
  </si>
  <si>
    <t>Throttle Body Cleaning</t>
  </si>
  <si>
    <t>Idle Air Control Solenoid</t>
  </si>
  <si>
    <t>Idle Air Control Motor</t>
  </si>
  <si>
    <t>&lt;&lt;&lt;Ignition&gt;&gt;&gt;</t>
  </si>
  <si>
    <t>Ignition Distributor Cap</t>
  </si>
  <si>
    <t>Ignition Distributor Rotor</t>
  </si>
  <si>
    <t>Ignition Spark Plug(s)</t>
  </si>
  <si>
    <t>Ignition Spark Plug Set</t>
  </si>
  <si>
    <t>Ignition Timing Adjust</t>
  </si>
  <si>
    <t>Ignition Wire(s)</t>
  </si>
  <si>
    <t>Ignition Wire Set</t>
  </si>
  <si>
    <t>Ignition, Other</t>
  </si>
  <si>
    <t>Engine Balancer/Pulley for Timing Repair</t>
  </si>
  <si>
    <t>Ignition Module</t>
  </si>
  <si>
    <t>Ignition Coil</t>
  </si>
  <si>
    <t>Distributor Assembly</t>
  </si>
  <si>
    <t>Wiring Repair</t>
  </si>
  <si>
    <t>&lt;&lt;&lt;Other&gt;&gt;&gt;</t>
  </si>
  <si>
    <t>Shipping Charge</t>
  </si>
  <si>
    <t>Other, Vacuum Hoses</t>
  </si>
  <si>
    <t>Hazardous Waste Fee</t>
  </si>
  <si>
    <t>Other Repair, not listed</t>
  </si>
  <si>
    <t>&lt;&lt;&lt;PCV&gt;&gt;&gt;</t>
  </si>
  <si>
    <t>PCV Hoses</t>
  </si>
  <si>
    <t>PCV Valve</t>
  </si>
  <si>
    <t>PCV, Other</t>
  </si>
  <si>
    <t>Dipstick/Dipstick Tube</t>
  </si>
  <si>
    <t>&lt;&lt;&lt;Powertrain Management&gt;&gt;&gt;</t>
  </si>
  <si>
    <t>Emission Control Module Replace</t>
  </si>
  <si>
    <t>Emission Control Module, Reflash</t>
  </si>
  <si>
    <t>Emission Malfunction Indicator Lamp Repair</t>
  </si>
  <si>
    <t>Sensor, Air Flow</t>
  </si>
  <si>
    <t>Sensor, Camshaft</t>
  </si>
  <si>
    <t>Sensor, Coolant Temperature</t>
  </si>
  <si>
    <t>Sensor, Manifold Pressure</t>
  </si>
  <si>
    <t>Sensor, Oxygen</t>
  </si>
  <si>
    <t>Sensor, Throttle Position</t>
  </si>
  <si>
    <t>Emission Control, Other</t>
  </si>
  <si>
    <t>Sensor, Wiring</t>
  </si>
  <si>
    <t>Sensor, Crankshaft</t>
  </si>
  <si>
    <t>Sensor, Engine Knock</t>
  </si>
  <si>
    <t>Sensor, Vehicle Speed</t>
  </si>
  <si>
    <t>Intake Air Temp Sensor</t>
  </si>
  <si>
    <t>Fuel Pressure Sensor</t>
  </si>
  <si>
    <t>&lt;&lt;&lt;TAC&gt;&gt;&gt;</t>
  </si>
  <si>
    <t>TAC, Hot Air Tube</t>
  </si>
  <si>
    <t>TAC, Other</t>
  </si>
  <si>
    <t>TAC Thermal Bulb, TAC Vacuum Motor</t>
  </si>
  <si>
    <t>Heat Stove</t>
  </si>
  <si>
    <t>Vacuum Hose Repiar</t>
  </si>
  <si>
    <t>Air Box</t>
  </si>
  <si>
    <t>&lt;&lt;&lt;Transmission &gt;&gt;&gt;</t>
  </si>
  <si>
    <t>Transmission Shift Solenoid (code related)</t>
  </si>
  <si>
    <t>Transmission Fluid</t>
  </si>
  <si>
    <t>Torque Converter Clutch Solenoid</t>
  </si>
  <si>
    <t>Torque Converter Input Speed Sensor</t>
  </si>
  <si>
    <t>Transmission Overhaul/Replacement</t>
  </si>
  <si>
    <t>&lt;&lt;&lt;Diagnosis&gt;&gt;&gt;</t>
  </si>
  <si>
    <t>&lt;&lt;&lt;Testing&gt;&gt;&gt;</t>
  </si>
  <si>
    <t>Repair Summary</t>
  </si>
  <si>
    <t>Calculation 1 
(BAR Use Only)</t>
  </si>
  <si>
    <t>Calculation 2 
(BAR Use Only)</t>
  </si>
  <si>
    <t>BAR Use Only</t>
  </si>
  <si>
    <t>Consumer Cost Share</t>
  </si>
  <si>
    <t>Calculation 1 &amp; 2</t>
  </si>
  <si>
    <t>Diagnosis, ASM</t>
  </si>
  <si>
    <t>Diagnosis, OIS</t>
  </si>
  <si>
    <t>Diagnosis, TSI</t>
  </si>
  <si>
    <t>Test ASM Heavy Duty, Alternate</t>
  </si>
  <si>
    <t>Test ASM, Alternate</t>
  </si>
  <si>
    <t>Test TSI Heavy Duty, Alternate</t>
  </si>
  <si>
    <t>Test TSI, Alternate</t>
  </si>
  <si>
    <t>Test, ASM</t>
  </si>
  <si>
    <t>Test, ASM Heavy Duty</t>
  </si>
  <si>
    <t>Test, OIS</t>
  </si>
  <si>
    <t>Test, OIS Heavy Duty</t>
  </si>
  <si>
    <t>Test, TSI</t>
  </si>
  <si>
    <t>Test, TSI Heavy Duty</t>
  </si>
  <si>
    <t>Max CAP A Formula</t>
  </si>
  <si>
    <t>CAP A Formula 2</t>
  </si>
  <si>
    <t>Calculation 1
(BAR Use Only)</t>
  </si>
  <si>
    <t>Previously Section 2 Box 3</t>
  </si>
  <si>
    <t>SECTION 2 - REPAIR INFORMATION</t>
  </si>
  <si>
    <t>SECTION 3 - SUMMARY DETAIL</t>
  </si>
  <si>
    <t>Calculation 2
(BAR Use Only)</t>
  </si>
  <si>
    <t>Labor (Time)</t>
  </si>
  <si>
    <t>Funds requested over $500</t>
  </si>
  <si>
    <t>Submit date I7  determines which calculations to use.</t>
  </si>
  <si>
    <t>NIU = Not in use</t>
  </si>
  <si>
    <t>NIU CAP A Formula</t>
  </si>
  <si>
    <t>NIU H12 Verification</t>
  </si>
  <si>
    <t>City</t>
  </si>
  <si>
    <t>Zip Code</t>
  </si>
  <si>
    <t>FAX # / Email</t>
  </si>
  <si>
    <t>Date changes S7 (Date field is now required)</t>
  </si>
  <si>
    <t xml:space="preserve">********** CAP USE ONLY **********                              </t>
  </si>
  <si>
    <t>Phone #</t>
  </si>
  <si>
    <t>BAR Use Only = CAP Funds Remaining</t>
  </si>
  <si>
    <t>Overspend Used</t>
  </si>
  <si>
    <t>Previously Used Funds of starting $500</t>
  </si>
  <si>
    <t xml:space="preserve">Station E-Mail Address or Fax # </t>
  </si>
  <si>
    <t>Max Additional Funds Amount</t>
  </si>
  <si>
    <t>RCF = Remaining CAP Funds (I3)</t>
  </si>
  <si>
    <t>1111-0582-002-11115610-1420033-5340580</t>
  </si>
  <si>
    <t xml:space="preserve">Invoice #      </t>
  </si>
  <si>
    <t>Received Date</t>
  </si>
  <si>
    <t>First date populated</t>
  </si>
  <si>
    <t>(Rev. 09/30/2024)</t>
  </si>
  <si>
    <t>State</t>
  </si>
  <si>
    <t>California</t>
  </si>
  <si>
    <t xml:space="preserve">  Approver</t>
  </si>
  <si>
    <t xml:space="preserve">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</si>
</sst>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&quot;$&quot;#,##0.00;[Red]&quot;$&quot;#,##0.00"/>
    <numFmt numFmtId="167" formatCode="0.000%"/>
    <numFmt numFmtId="168" formatCode="&quot;(&quot;000&quot;) &quot;000&quot;-&quot;0000"/>
    <numFmt numFmtId="169" formatCode="000000"/>
    <numFmt numFmtId="170" formatCode="0000"/>
    <numFmt numFmtId="171" formatCode="m/d/yyyy;@"/>
    <numFmt numFmtId="172" formatCode="0.00000000"/>
    <numFmt numFmtId="173" formatCode="0000000"/>
    <numFmt numFmtId="174" formatCode="&quot;$&quot;#,##0.000"/>
    <numFmt numFmtId="175" formatCode="#.##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7"/>
      <color rgb="FFFF000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color rgb="FFFF0000"/>
      <name val="Arial"/>
      <family val="2"/>
    </font>
    <font>
      <sz val="14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0"/>
      <color indexed="8"/>
      <name val="Arial"/>
      <family val="2"/>
    </font>
    <font>
      <b/>
      <i/>
      <sz val="16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24"/>
      <name val="Arial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b/>
      <sz val="9"/>
      <color indexed="8"/>
      <name val="Arial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sz val="11"/>
      <name val="Arial"/>
      <family val="2"/>
    </font>
    <font>
      <sz val="7"/>
      <name val="Arial"/>
      <family val="2"/>
    </font>
    <font>
      <b/>
      <sz val="12"/>
      <color theme="0"/>
      <name val="Times New Roman"/>
      <family val="1"/>
    </font>
    <font>
      <sz val="10"/>
      <color theme="1"/>
      <name val="Arial"/>
      <family val="2"/>
    </font>
    <font>
      <b/>
      <sz val="11"/>
      <name val="Times New Roman"/>
      <family val="1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Border="1"/>
    <xf numFmtId="0" fontId="26" fillId="0" borderId="0" xfId="0" applyFont="1"/>
    <xf numFmtId="0" fontId="27" fillId="0" borderId="0" xfId="0" applyFont="1"/>
    <xf numFmtId="0" fontId="3" fillId="0" borderId="0" xfId="0" applyFont="1"/>
    <xf numFmtId="0" fontId="28" fillId="0" borderId="0" xfId="0" applyFont="1"/>
    <xf numFmtId="0" fontId="29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9" fontId="0" fillId="0" borderId="0" xfId="2" applyFont="1" applyProtection="1"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right" vertical="center"/>
      <protection hidden="1"/>
    </xf>
    <xf numFmtId="164" fontId="0" fillId="0" borderId="1" xfId="0" applyNumberFormat="1" applyBorder="1" applyAlignment="1" applyProtection="1">
      <alignment horizontal="right" vertical="center"/>
      <protection hidden="1"/>
    </xf>
    <xf numFmtId="164" fontId="0" fillId="0" borderId="6" xfId="0" applyNumberForma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24" fillId="0" borderId="0" xfId="0" applyFont="1" applyProtection="1">
      <protection hidden="1"/>
    </xf>
    <xf numFmtId="49" fontId="23" fillId="0" borderId="0" xfId="0" applyNumberFormat="1" applyFont="1" applyProtection="1">
      <protection hidden="1"/>
    </xf>
    <xf numFmtId="0" fontId="2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19" xfId="0" applyNumberFormat="1" applyFont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Protection="1"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8" fillId="0" borderId="27" xfId="0" applyNumberFormat="1" applyFont="1" applyBorder="1" applyAlignment="1" applyProtection="1">
      <alignment horizontal="center"/>
      <protection hidden="1"/>
    </xf>
    <xf numFmtId="165" fontId="18" fillId="0" borderId="26" xfId="0" applyNumberFormat="1" applyFont="1" applyBorder="1" applyAlignment="1" applyProtection="1">
      <alignment horizontal="center"/>
      <protection hidden="1"/>
    </xf>
    <xf numFmtId="166" fontId="18" fillId="0" borderId="26" xfId="1" applyNumberFormat="1" applyFont="1" applyBorder="1" applyAlignment="1" applyProtection="1">
      <alignment horizontal="center"/>
      <protection hidden="1"/>
    </xf>
    <xf numFmtId="166" fontId="18" fillId="0" borderId="25" xfId="1" applyNumberFormat="1" applyFont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horizontal="left" vertical="center" indent="1"/>
      <protection hidden="1"/>
    </xf>
    <xf numFmtId="0" fontId="13" fillId="0" borderId="0" xfId="0" applyFont="1" applyBorder="1" applyAlignment="1" applyProtection="1">
      <alignment horizontal="left" vertical="top"/>
      <protection locked="0" hidden="1"/>
    </xf>
    <xf numFmtId="0" fontId="4" fillId="0" borderId="0" xfId="0" applyFont="1" applyBorder="1" applyAlignment="1" applyProtection="1">
      <alignment vertical="top"/>
      <protection locked="0" hidden="1"/>
    </xf>
    <xf numFmtId="0" fontId="4" fillId="0" borderId="0" xfId="0" applyNumberFormat="1" applyFont="1" applyBorder="1" applyAlignment="1" applyProtection="1">
      <alignment vertical="top"/>
      <protection locked="0" hidden="1"/>
    </xf>
    <xf numFmtId="14" fontId="13" fillId="0" borderId="0" xfId="0" applyNumberFormat="1" applyFont="1" applyBorder="1" applyAlignment="1" applyProtection="1">
      <alignment horizontal="left" vertical="top" indent="1"/>
      <protection locked="0"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9" fillId="0" borderId="0" xfId="0" applyNumberFormat="1" applyFont="1" applyProtection="1">
      <protection hidden="1"/>
    </xf>
    <xf numFmtId="167" fontId="0" fillId="0" borderId="7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 applyProtection="1">
      <alignment horizontal="right" vertical="center"/>
      <protection locked="0" hidden="1"/>
    </xf>
    <xf numFmtId="164" fontId="0" fillId="0" borderId="1" xfId="0" applyNumberFormat="1" applyBorder="1" applyAlignment="1" applyProtection="1">
      <alignment horizontal="right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164" fontId="0" fillId="0" borderId="6" xfId="0" applyNumberFormat="1" applyBorder="1" applyAlignment="1" applyProtection="1">
      <alignment horizontal="right" vertical="center"/>
      <protection locked="0" hidden="1"/>
    </xf>
    <xf numFmtId="0" fontId="18" fillId="0" borderId="26" xfId="0" applyNumberFormat="1" applyFont="1" applyBorder="1" applyAlignment="1" applyProtection="1">
      <alignment horizontal="center"/>
      <protection hidden="1"/>
    </xf>
    <xf numFmtId="164" fontId="0" fillId="2" borderId="47" xfId="0" applyNumberFormat="1" applyFill="1" applyBorder="1" applyAlignment="1" applyProtection="1">
      <alignment horizontal="center" vertical="center"/>
      <protection locked="0" hidden="1"/>
    </xf>
    <xf numFmtId="170" fontId="0" fillId="0" borderId="3" xfId="0" applyNumberFormat="1" applyBorder="1" applyAlignment="1" applyProtection="1">
      <alignment horizontal="center" vertical="center"/>
      <protection locked="0"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 wrapText="1"/>
      <protection hidden="1"/>
    </xf>
    <xf numFmtId="171" fontId="0" fillId="0" borderId="36" xfId="0" applyNumberFormat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13" fillId="0" borderId="5" xfId="0" applyFont="1" applyBorder="1" applyAlignment="1" applyProtection="1">
      <alignment vertical="top"/>
      <protection hidden="1"/>
    </xf>
    <xf numFmtId="0" fontId="13" fillId="0" borderId="19" xfId="0" applyFont="1" applyBorder="1" applyAlignment="1" applyProtection="1">
      <alignment vertical="top"/>
      <protection hidden="1"/>
    </xf>
    <xf numFmtId="0" fontId="33" fillId="0" borderId="2" xfId="0" applyFont="1" applyFill="1" applyBorder="1" applyAlignment="1" applyProtection="1">
      <alignment horizontal="left" vertical="center"/>
      <protection locked="0" hidden="1"/>
    </xf>
    <xf numFmtId="0" fontId="34" fillId="0" borderId="60" xfId="0" applyFont="1" applyBorder="1" applyAlignment="1" applyProtection="1">
      <alignment horizontal="center" vertical="center"/>
      <protection hidden="1"/>
    </xf>
    <xf numFmtId="0" fontId="12" fillId="0" borderId="60" xfId="0" applyFont="1" applyBorder="1" applyAlignment="1" applyProtection="1">
      <alignment horizontal="center" vertical="center"/>
      <protection hidden="1"/>
    </xf>
    <xf numFmtId="14" fontId="13" fillId="0" borderId="60" xfId="0" applyNumberFormat="1" applyFont="1" applyBorder="1" applyAlignment="1" applyProtection="1">
      <alignment horizontal="center" vertical="top"/>
      <protection locked="0" hidden="1"/>
    </xf>
    <xf numFmtId="0" fontId="34" fillId="0" borderId="65" xfId="0" applyFont="1" applyBorder="1" applyAlignment="1" applyProtection="1">
      <alignment horizontal="center" vertical="center"/>
      <protection hidden="1"/>
    </xf>
    <xf numFmtId="164" fontId="14" fillId="0" borderId="1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locked="0" hidden="1"/>
    </xf>
    <xf numFmtId="164" fontId="29" fillId="0" borderId="0" xfId="0" applyNumberFormat="1" applyFont="1" applyProtection="1">
      <protection hidden="1"/>
    </xf>
    <xf numFmtId="0" fontId="29" fillId="0" borderId="0" xfId="0" applyFont="1" applyBorder="1" applyProtection="1">
      <protection hidden="1"/>
    </xf>
    <xf numFmtId="9" fontId="29" fillId="0" borderId="0" xfId="2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protection hidden="1"/>
    </xf>
    <xf numFmtId="0" fontId="40" fillId="3" borderId="0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4" fontId="26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top"/>
      <protection hidden="1"/>
    </xf>
    <xf numFmtId="0" fontId="26" fillId="3" borderId="0" xfId="0" applyFont="1" applyFill="1" applyBorder="1" applyProtection="1">
      <protection hidden="1"/>
    </xf>
    <xf numFmtId="9" fontId="40" fillId="3" borderId="0" xfId="2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right" vertical="center"/>
      <protection hidden="1"/>
    </xf>
    <xf numFmtId="0" fontId="30" fillId="3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/>
      <protection hidden="1"/>
    </xf>
    <xf numFmtId="0" fontId="41" fillId="3" borderId="0" xfId="0" applyFont="1" applyFill="1" applyBorder="1" applyAlignment="1" applyProtection="1">
      <alignment horizontal="center" vertical="center"/>
      <protection hidden="1"/>
    </xf>
    <xf numFmtId="167" fontId="39" fillId="0" borderId="1" xfId="0" applyNumberFormat="1" applyFont="1" applyBorder="1" applyAlignment="1" applyProtection="1">
      <alignment horizontal="center" vertical="center"/>
      <protection locked="0" hidden="1"/>
    </xf>
    <xf numFmtId="49" fontId="0" fillId="0" borderId="1" xfId="0" applyNumberFormat="1" applyBorder="1" applyAlignment="1" applyProtection="1">
      <alignment horizontal="center" vertical="center"/>
      <protection locked="0" hidden="1"/>
    </xf>
    <xf numFmtId="164" fontId="0" fillId="0" borderId="0" xfId="0" applyNumberFormat="1" applyProtection="1">
      <protection locked="0" hidden="1"/>
    </xf>
    <xf numFmtId="0" fontId="0" fillId="0" borderId="2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6" xfId="0" applyNumberFormat="1" applyBorder="1" applyAlignment="1" applyProtection="1">
      <alignment horizontal="center" vertical="center"/>
      <protection locked="0" hidden="1"/>
    </xf>
    <xf numFmtId="0" fontId="12" fillId="0" borderId="66" xfId="0" applyFont="1" applyBorder="1" applyAlignment="1" applyProtection="1">
      <alignment vertical="center"/>
      <protection hidden="1"/>
    </xf>
    <xf numFmtId="0" fontId="12" fillId="0" borderId="19" xfId="0" applyFont="1" applyBorder="1" applyAlignment="1" applyProtection="1">
      <alignment vertical="center"/>
      <protection hidden="1"/>
    </xf>
    <xf numFmtId="0" fontId="12" fillId="0" borderId="67" xfId="0" applyFont="1" applyBorder="1" applyAlignment="1" applyProtection="1">
      <alignment vertical="center"/>
      <protection hidden="1"/>
    </xf>
    <xf numFmtId="0" fontId="12" fillId="0" borderId="31" xfId="0" applyFont="1" applyBorder="1" applyAlignment="1" applyProtection="1">
      <alignment vertical="center"/>
      <protection hidden="1"/>
    </xf>
    <xf numFmtId="14" fontId="13" fillId="0" borderId="19" xfId="0" applyNumberFormat="1" applyFont="1" applyBorder="1" applyAlignment="1" applyProtection="1">
      <alignment vertical="center"/>
      <protection locked="0" hidden="1"/>
    </xf>
    <xf numFmtId="14" fontId="13" fillId="0" borderId="30" xfId="0" applyNumberFormat="1" applyFont="1" applyBorder="1" applyAlignment="1" applyProtection="1">
      <alignment vertical="center"/>
      <protection locked="0" hidden="1"/>
    </xf>
    <xf numFmtId="14" fontId="13" fillId="0" borderId="31" xfId="0" applyNumberFormat="1" applyFont="1" applyBorder="1" applyAlignment="1" applyProtection="1">
      <alignment vertical="center"/>
      <protection locked="0" hidden="1"/>
    </xf>
    <xf numFmtId="14" fontId="13" fillId="0" borderId="68" xfId="0" applyNumberFormat="1" applyFont="1" applyBorder="1" applyAlignment="1" applyProtection="1">
      <alignment vertical="center"/>
      <protection locked="0" hidden="1"/>
    </xf>
    <xf numFmtId="0" fontId="36" fillId="0" borderId="64" xfId="0" applyFont="1" applyBorder="1" applyAlignment="1" applyProtection="1">
      <alignment vertical="center"/>
      <protection hidden="1"/>
    </xf>
    <xf numFmtId="0" fontId="36" fillId="0" borderId="60" xfId="0" applyFont="1" applyBorder="1" applyAlignment="1" applyProtection="1">
      <alignment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vertical="center"/>
      <protection hidden="1"/>
    </xf>
    <xf numFmtId="0" fontId="36" fillId="0" borderId="61" xfId="0" applyFont="1" applyBorder="1" applyAlignment="1" applyProtection="1">
      <alignment horizontal="right" vertical="center"/>
      <protection hidden="1"/>
    </xf>
    <xf numFmtId="14" fontId="13" fillId="0" borderId="70" xfId="0" applyNumberFormat="1" applyFont="1" applyBorder="1" applyAlignment="1" applyProtection="1">
      <alignment horizontal="center" vertical="top"/>
      <protection locked="0" hidden="1"/>
    </xf>
    <xf numFmtId="14" fontId="13" fillId="0" borderId="70" xfId="0" applyNumberFormat="1" applyFont="1" applyBorder="1" applyAlignment="1" applyProtection="1">
      <alignment vertical="center"/>
      <protection locked="0" hidden="1"/>
    </xf>
    <xf numFmtId="14" fontId="13" fillId="0" borderId="44" xfId="0" applyNumberFormat="1" applyFont="1" applyBorder="1" applyAlignment="1" applyProtection="1">
      <alignment vertical="center"/>
      <protection locked="0" hidden="1"/>
    </xf>
    <xf numFmtId="14" fontId="13" fillId="0" borderId="44" xfId="0" applyNumberFormat="1" applyFont="1" applyBorder="1" applyAlignment="1" applyProtection="1">
      <alignment horizontal="center" vertical="top"/>
      <protection locked="0" hidden="1"/>
    </xf>
    <xf numFmtId="0" fontId="14" fillId="0" borderId="61" xfId="0" applyFont="1" applyBorder="1" applyAlignment="1" applyProtection="1">
      <alignment horizontal="left" vertical="center"/>
      <protection hidden="1"/>
    </xf>
    <xf numFmtId="14" fontId="29" fillId="0" borderId="0" xfId="0" applyNumberFormat="1" applyFont="1" applyProtection="1">
      <protection hidden="1"/>
    </xf>
    <xf numFmtId="175" fontId="29" fillId="0" borderId="0" xfId="0" applyNumberFormat="1" applyFont="1" applyProtection="1">
      <protection hidden="1"/>
    </xf>
    <xf numFmtId="172" fontId="29" fillId="0" borderId="0" xfId="0" applyNumberFormat="1" applyFont="1" applyProtection="1">
      <protection hidden="1"/>
    </xf>
    <xf numFmtId="174" fontId="29" fillId="0" borderId="0" xfId="0" applyNumberFormat="1" applyFont="1" applyProtection="1">
      <protection hidden="1"/>
    </xf>
    <xf numFmtId="2" fontId="29" fillId="0" borderId="0" xfId="0" applyNumberFormat="1" applyFont="1" applyProtection="1"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164" fontId="29" fillId="0" borderId="0" xfId="0" applyNumberFormat="1" applyFont="1" applyAlignment="1" applyProtection="1">
      <alignment horizontal="center" vertical="center"/>
      <protection hidden="1"/>
    </xf>
    <xf numFmtId="164" fontId="29" fillId="0" borderId="0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164" fontId="29" fillId="0" borderId="0" xfId="0" applyNumberFormat="1" applyFont="1" applyAlignment="1" applyProtection="1">
      <alignment horizontal="center" vertical="center"/>
      <protection hidden="1"/>
    </xf>
    <xf numFmtId="164" fontId="29" fillId="0" borderId="0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33" fillId="0" borderId="1" xfId="0" applyFont="1" applyFill="1" applyBorder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49" fontId="2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wrapText="1"/>
      <protection hidden="1"/>
    </xf>
    <xf numFmtId="14" fontId="14" fillId="0" borderId="1" xfId="0" applyNumberFormat="1" applyFont="1" applyBorder="1" applyAlignment="1" applyProtection="1">
      <alignment horizontal="center" vertical="center"/>
      <protection hidden="1"/>
    </xf>
    <xf numFmtId="0" fontId="35" fillId="4" borderId="62" xfId="0" applyFont="1" applyFill="1" applyBorder="1" applyAlignment="1" applyProtection="1">
      <alignment horizontal="center" vertical="center"/>
      <protection hidden="1"/>
    </xf>
    <xf numFmtId="0" fontId="35" fillId="4" borderId="33" xfId="0" applyFont="1" applyFill="1" applyBorder="1" applyAlignment="1" applyProtection="1">
      <alignment horizontal="center" vertical="center"/>
      <protection hidden="1"/>
    </xf>
    <xf numFmtId="0" fontId="35" fillId="4" borderId="63" xfId="0" applyFont="1" applyFill="1" applyBorder="1" applyAlignment="1" applyProtection="1">
      <alignment horizontal="center" vertical="center"/>
      <protection hidden="1"/>
    </xf>
    <xf numFmtId="166" fontId="15" fillId="0" borderId="2" xfId="1" applyNumberFormat="1" applyFont="1" applyBorder="1" applyAlignment="1" applyProtection="1">
      <alignment horizontal="center" vertical="center"/>
      <protection hidden="1"/>
    </xf>
    <xf numFmtId="44" fontId="15" fillId="0" borderId="1" xfId="1" applyNumberFormat="1" applyFont="1" applyBorder="1" applyAlignment="1" applyProtection="1">
      <alignment horizontal="center" vertical="center"/>
      <protection hidden="1"/>
    </xf>
    <xf numFmtId="14" fontId="16" fillId="0" borderId="0" xfId="0" applyNumberFormat="1" applyFont="1" applyBorder="1" applyAlignment="1" applyProtection="1">
      <alignment horizontal="center" vertical="center" wrapText="1"/>
      <protection hidden="1"/>
    </xf>
    <xf numFmtId="14" fontId="16" fillId="0" borderId="59" xfId="0" applyNumberFormat="1" applyFont="1" applyBorder="1" applyAlignment="1" applyProtection="1">
      <alignment horizontal="center" vertical="center" wrapText="1"/>
      <protection hidden="1"/>
    </xf>
    <xf numFmtId="14" fontId="16" fillId="0" borderId="19" xfId="0" applyNumberFormat="1" applyFont="1" applyBorder="1" applyAlignment="1" applyProtection="1">
      <alignment horizontal="center" vertical="center" wrapText="1"/>
      <protection hidden="1"/>
    </xf>
    <xf numFmtId="14" fontId="16" fillId="0" borderId="13" xfId="0" applyNumberFormat="1" applyFont="1" applyBorder="1" applyAlignment="1" applyProtection="1">
      <alignment horizontal="center" vertical="center" wrapText="1"/>
      <protection hidden="1"/>
    </xf>
    <xf numFmtId="14" fontId="37" fillId="0" borderId="44" xfId="0" applyNumberFormat="1" applyFont="1" applyBorder="1" applyAlignment="1" applyProtection="1">
      <alignment horizontal="center" vertical="top" wrapText="1"/>
      <protection hidden="1"/>
    </xf>
    <xf numFmtId="14" fontId="17" fillId="0" borderId="12" xfId="0" applyNumberFormat="1" applyFont="1" applyBorder="1" applyAlignment="1" applyProtection="1">
      <alignment horizontal="center" vertical="top" wrapText="1"/>
      <protection hidden="1"/>
    </xf>
    <xf numFmtId="0" fontId="14" fillId="0" borderId="2" xfId="0" applyFont="1" applyBorder="1" applyAlignment="1" applyProtection="1">
      <alignment horizontal="center" vertical="center"/>
      <protection locked="0" hidden="1"/>
    </xf>
    <xf numFmtId="0" fontId="14" fillId="0" borderId="12" xfId="0" applyFont="1" applyBorder="1" applyAlignment="1" applyProtection="1">
      <alignment horizontal="center" vertical="center"/>
      <protection locked="0" hidden="1"/>
    </xf>
    <xf numFmtId="0" fontId="14" fillId="0" borderId="3" xfId="0" applyFont="1" applyBorder="1" applyAlignment="1" applyProtection="1">
      <alignment horizontal="center" vertical="center"/>
      <protection locked="0" hidden="1"/>
    </xf>
    <xf numFmtId="49" fontId="21" fillId="0" borderId="4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right"/>
      <protection hidden="1"/>
    </xf>
    <xf numFmtId="49" fontId="22" fillId="0" borderId="69" xfId="0" applyNumberFormat="1" applyFont="1" applyFill="1" applyBorder="1" applyAlignment="1" applyProtection="1">
      <alignment horizontal="left" vertical="center"/>
      <protection locked="0" hidden="1"/>
    </xf>
    <xf numFmtId="168" fontId="19" fillId="0" borderId="2" xfId="0" applyNumberFormat="1" applyFont="1" applyFill="1" applyBorder="1" applyAlignment="1" applyProtection="1">
      <alignment horizontal="left" vertical="center"/>
      <protection locked="0" hidden="1"/>
    </xf>
    <xf numFmtId="0" fontId="22" fillId="0" borderId="12" xfId="0" applyFont="1" applyFill="1" applyBorder="1" applyAlignment="1" applyProtection="1">
      <alignment horizontal="left" vertical="center"/>
      <protection locked="0" hidden="1"/>
    </xf>
    <xf numFmtId="0" fontId="22" fillId="0" borderId="13" xfId="0" applyFont="1" applyFill="1" applyBorder="1" applyAlignment="1" applyProtection="1">
      <alignment horizontal="left" vertical="center"/>
      <protection locked="0" hidden="1"/>
    </xf>
    <xf numFmtId="0" fontId="22" fillId="0" borderId="1" xfId="0" applyFont="1" applyFill="1" applyBorder="1" applyAlignment="1" applyProtection="1">
      <alignment horizontal="left" vertical="center"/>
      <protection locked="0" hidden="1"/>
    </xf>
    <xf numFmtId="0" fontId="22" fillId="0" borderId="3" xfId="0" applyFont="1" applyFill="1" applyBorder="1" applyAlignment="1" applyProtection="1">
      <alignment horizontal="left" vertical="center"/>
      <protection locked="0" hidden="1"/>
    </xf>
    <xf numFmtId="0" fontId="22" fillId="0" borderId="4" xfId="0" applyFont="1" applyFill="1" applyBorder="1" applyAlignment="1" applyProtection="1">
      <alignment horizontal="left" vertical="center"/>
      <protection locked="0" hidden="1"/>
    </xf>
    <xf numFmtId="0" fontId="22" fillId="0" borderId="5" xfId="0" applyFont="1" applyFill="1" applyBorder="1" applyAlignment="1" applyProtection="1">
      <alignment horizontal="left" vertical="center"/>
      <protection locked="0"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/>
      <protection locked="0" hidden="1"/>
    </xf>
    <xf numFmtId="0" fontId="39" fillId="0" borderId="5" xfId="0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9" fontId="29" fillId="0" borderId="0" xfId="2" applyFont="1" applyAlignment="1" applyProtection="1">
      <alignment horizontal="center"/>
      <protection hidden="1"/>
    </xf>
    <xf numFmtId="164" fontId="0" fillId="0" borderId="50" xfId="0" applyNumberFormat="1" applyBorder="1" applyAlignment="1" applyProtection="1">
      <alignment horizontal="center" vertical="center"/>
      <protection hidden="1"/>
    </xf>
    <xf numFmtId="164" fontId="0" fillId="0" borderId="53" xfId="0" applyNumberFormat="1" applyBorder="1" applyAlignment="1" applyProtection="1">
      <alignment horizontal="center" vertical="center"/>
      <protection hidden="1"/>
    </xf>
    <xf numFmtId="164" fontId="0" fillId="0" borderId="36" xfId="0" applyNumberFormat="1" applyBorder="1" applyAlignment="1" applyProtection="1">
      <alignment horizontal="center" vertical="center"/>
      <protection hidden="1"/>
    </xf>
    <xf numFmtId="164" fontId="0" fillId="0" borderId="17" xfId="0" applyNumberFormat="1" applyBorder="1" applyAlignment="1" applyProtection="1">
      <alignment horizontal="center" vertical="center"/>
      <protection hidden="1"/>
    </xf>
    <xf numFmtId="164" fontId="0" fillId="0" borderId="34" xfId="0" applyNumberFormat="1" applyBorder="1" applyAlignment="1" applyProtection="1">
      <alignment horizontal="center" vertical="center"/>
      <protection hidden="1"/>
    </xf>
    <xf numFmtId="164" fontId="0" fillId="0" borderId="30" xfId="0" applyNumberForma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0" fillId="0" borderId="23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top"/>
      <protection locked="0" hidden="1"/>
    </xf>
    <xf numFmtId="0" fontId="0" fillId="0" borderId="35" xfId="0" applyBorder="1" applyAlignment="1" applyProtection="1">
      <alignment horizontal="center" vertical="top"/>
      <protection locked="0"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39" xfId="0" applyBorder="1" applyAlignment="1" applyProtection="1">
      <alignment horizontal="center" vertical="top"/>
      <protection hidden="1"/>
    </xf>
    <xf numFmtId="0" fontId="0" fillId="0" borderId="6" xfId="0" applyBorder="1" applyAlignment="1" applyProtection="1">
      <alignment horizontal="center" vertical="top"/>
      <protection hidden="1"/>
    </xf>
    <xf numFmtId="0" fontId="0" fillId="0" borderId="40" xfId="0" applyBorder="1" applyAlignment="1" applyProtection="1">
      <alignment horizontal="center" vertical="top"/>
      <protection hidden="1"/>
    </xf>
    <xf numFmtId="164" fontId="0" fillId="0" borderId="38" xfId="0" applyNumberFormat="1" applyBorder="1" applyAlignment="1" applyProtection="1">
      <alignment horizontal="center" vertical="center"/>
      <protection hidden="1"/>
    </xf>
    <xf numFmtId="164" fontId="0" fillId="0" borderId="58" xfId="0" applyNumberFormat="1" applyBorder="1" applyAlignment="1" applyProtection="1">
      <alignment horizontal="center" vertical="center"/>
      <protection hidden="1"/>
    </xf>
    <xf numFmtId="164" fontId="0" fillId="0" borderId="52" xfId="0" applyNumberFormat="1" applyBorder="1" applyAlignment="1" applyProtection="1">
      <alignment horizontal="center" vertical="center"/>
      <protection hidden="1"/>
    </xf>
    <xf numFmtId="164" fontId="0" fillId="0" borderId="57" xfId="0" applyNumberFormat="1" applyBorder="1" applyAlignment="1" applyProtection="1">
      <alignment horizontal="center" vertical="center"/>
      <protection hidden="1"/>
    </xf>
    <xf numFmtId="164" fontId="0" fillId="0" borderId="51" xfId="0" applyNumberFormat="1" applyBorder="1" applyAlignment="1" applyProtection="1">
      <alignment horizontal="center" vertical="center"/>
      <protection hidden="1"/>
    </xf>
    <xf numFmtId="164" fontId="0" fillId="0" borderId="54" xfId="0" applyNumberFormat="1" applyBorder="1" applyAlignment="1" applyProtection="1">
      <alignment horizontal="center" vertical="center"/>
      <protection hidden="1"/>
    </xf>
    <xf numFmtId="164" fontId="0" fillId="0" borderId="23" xfId="0" applyNumberFormat="1" applyBorder="1" applyAlignment="1" applyProtection="1">
      <alignment horizontal="center" vertical="center"/>
      <protection hidden="1"/>
    </xf>
    <xf numFmtId="164" fontId="0" fillId="0" borderId="55" xfId="0" applyNumberFormat="1" applyBorder="1" applyAlignment="1" applyProtection="1">
      <alignment horizontal="center" vertical="center"/>
      <protection hidden="1"/>
    </xf>
    <xf numFmtId="164" fontId="0" fillId="0" borderId="22" xfId="0" applyNumberFormat="1" applyBorder="1" applyAlignment="1" applyProtection="1">
      <alignment horizontal="center" vertical="center"/>
      <protection hidden="1"/>
    </xf>
    <xf numFmtId="164" fontId="0" fillId="0" borderId="56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9" fontId="38" fillId="4" borderId="28" xfId="2" applyFont="1" applyFill="1" applyBorder="1" applyAlignment="1" applyProtection="1">
      <alignment horizontal="center" vertical="center"/>
      <protection hidden="1"/>
    </xf>
    <xf numFmtId="9" fontId="38" fillId="4" borderId="14" xfId="2" applyFont="1" applyFill="1" applyBorder="1" applyAlignment="1" applyProtection="1">
      <alignment horizontal="center" vertical="center"/>
      <protection hidden="1"/>
    </xf>
    <xf numFmtId="9" fontId="38" fillId="4" borderId="29" xfId="2" applyFont="1" applyFill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164" fontId="29" fillId="0" borderId="0" xfId="0" applyNumberFormat="1" applyFont="1" applyAlignment="1" applyProtection="1">
      <alignment horizontal="center"/>
      <protection hidden="1"/>
    </xf>
    <xf numFmtId="164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/>
      <protection hidden="1"/>
    </xf>
    <xf numFmtId="164" fontId="29" fillId="0" borderId="0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0" borderId="48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wrapText="1"/>
      <protection hidden="1"/>
    </xf>
    <xf numFmtId="0" fontId="0" fillId="0" borderId="0" xfId="0" applyFont="1" applyBorder="1" applyAlignment="1" applyProtection="1">
      <alignment horizont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31" fillId="2" borderId="11" xfId="0" applyFont="1" applyFill="1" applyBorder="1" applyAlignment="1" applyProtection="1">
      <alignment horizontal="center" vertical="center"/>
      <protection hidden="1"/>
    </xf>
    <xf numFmtId="0" fontId="30" fillId="0" borderId="43" xfId="0" applyFont="1" applyBorder="1" applyAlignment="1" applyProtection="1">
      <alignment horizontal="center" vertical="center" wrapText="1"/>
      <protection hidden="1"/>
    </xf>
    <xf numFmtId="0" fontId="30" fillId="0" borderId="49" xfId="0" applyFont="1" applyBorder="1" applyAlignment="1" applyProtection="1">
      <alignment horizontal="center" vertical="center" wrapText="1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8" fontId="1" fillId="0" borderId="7" xfId="0" applyNumberFormat="1" applyFont="1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1" fillId="2" borderId="8" xfId="0" applyFont="1" applyFill="1" applyBorder="1" applyAlignment="1" applyProtection="1">
      <alignment horizontal="center" vertical="center"/>
      <protection hidden="1"/>
    </xf>
    <xf numFmtId="0" fontId="31" fillId="2" borderId="9" xfId="0" applyFont="1" applyFill="1" applyBorder="1" applyAlignment="1" applyProtection="1">
      <alignment horizontal="center" vertical="center"/>
      <protection hidden="1"/>
    </xf>
    <xf numFmtId="0" fontId="31" fillId="2" borderId="10" xfId="0" applyFont="1" applyFill="1" applyBorder="1" applyAlignment="1" applyProtection="1">
      <alignment horizontal="center" vertical="center"/>
      <protection hidden="1"/>
    </xf>
    <xf numFmtId="173" fontId="0" fillId="0" borderId="2" xfId="0" applyNumberFormat="1" applyFont="1" applyBorder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 applyProtection="1">
      <alignment horizontal="center" vertical="center" wrapText="1"/>
      <protection hidden="1"/>
    </xf>
    <xf numFmtId="0" fontId="7" fillId="2" borderId="46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49" fontId="0" fillId="0" borderId="3" xfId="0" applyNumberFormat="1" applyFill="1" applyBorder="1" applyAlignment="1" applyProtection="1">
      <alignment horizontal="center" vertical="center"/>
      <protection locked="0" hidden="1"/>
    </xf>
    <xf numFmtId="49" fontId="0" fillId="0" borderId="5" xfId="0" applyNumberFormat="1" applyFill="1" applyBorder="1" applyAlignment="1" applyProtection="1">
      <alignment horizontal="center" vertical="center"/>
      <protection locked="0" hidden="1"/>
    </xf>
    <xf numFmtId="169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0</xdr:rowOff>
    </xdr:from>
    <xdr:to>
      <xdr:col>4</xdr:col>
      <xdr:colOff>488950</xdr:colOff>
      <xdr:row>4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905000" y="0"/>
          <a:ext cx="2317750" cy="95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E-MAIL</a:t>
          </a:r>
          <a:r>
            <a:rPr lang="en-US" sz="1200" b="1" baseline="0"/>
            <a:t> TO:</a:t>
          </a:r>
          <a:br>
            <a:rPr lang="en-US" sz="1200" b="1" baseline="0"/>
          </a:br>
          <a:r>
            <a:rPr lang="en-US" sz="1200" b="0" baseline="0"/>
            <a:t>CAPRAINVOICE@dca.ca.gov</a:t>
          </a:r>
        </a:p>
        <a:p>
          <a:pPr algn="ctr"/>
          <a:r>
            <a:rPr lang="en-US" sz="1200" b="0"/>
            <a:t>(Invoice package must be a single PDF file for processing)</a:t>
          </a:r>
        </a:p>
      </xdr:txBody>
    </xdr:sp>
    <xdr:clientData/>
  </xdr:twoCellAnchor>
  <xdr:twoCellAnchor>
    <xdr:from>
      <xdr:col>4</xdr:col>
      <xdr:colOff>812800</xdr:colOff>
      <xdr:row>0</xdr:row>
      <xdr:rowOff>0</xdr:rowOff>
    </xdr:from>
    <xdr:to>
      <xdr:col>7</xdr:col>
      <xdr:colOff>831850</xdr:colOff>
      <xdr:row>4</xdr:row>
      <xdr:rowOff>98421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546600" y="0"/>
          <a:ext cx="2876550" cy="1057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1"/>
          <a:r>
            <a:rPr lang="en-US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MAIL TO:</a:t>
          </a:r>
          <a:endParaRPr lang="en-US" sz="1200" b="1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en-US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CONSUMER ASSISTANCE PROGRAM</a:t>
          </a:r>
        </a:p>
        <a:p>
          <a:pPr algn="ctr" rtl="1"/>
          <a:r>
            <a:rPr lang="en-US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10949 North Mather Blvd</a:t>
          </a:r>
          <a:endParaRPr lang="en-US" sz="1200" b="0"/>
        </a:p>
        <a:p>
          <a:pPr algn="ctr" rtl="1"/>
          <a:r>
            <a:rPr lang="en-US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Rancho Cordova, California   95670</a:t>
          </a:r>
          <a:endParaRPr lang="en-US" sz="1200" b="0"/>
        </a:p>
        <a:p>
          <a:pPr algn="ctr" rtl="1"/>
          <a:r>
            <a:rPr lang="en-US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ATTN: INVOICE UNIT</a:t>
          </a:r>
          <a:endParaRPr lang="en-US" sz="1200" b="0"/>
        </a:p>
        <a:p>
          <a:pPr algn="ctr"/>
          <a:endParaRPr lang="en-US" sz="1100"/>
        </a:p>
      </xdr:txBody>
    </xdr:sp>
    <xdr:clientData/>
  </xdr:twoCellAnchor>
  <xdr:oneCellAnchor>
    <xdr:from>
      <xdr:col>8</xdr:col>
      <xdr:colOff>76200</xdr:colOff>
      <xdr:row>0</xdr:row>
      <xdr:rowOff>38100</xdr:rowOff>
    </xdr:from>
    <xdr:ext cx="695325" cy="704850"/>
    <xdr:pic>
      <xdr:nvPicPr>
        <xdr:cNvPr id="4" name="Picture 14" descr="seal_bw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854075</xdr:colOff>
      <xdr:row>17</xdr:row>
      <xdr:rowOff>123825</xdr:rowOff>
    </xdr:from>
    <xdr:to>
      <xdr:col>4</xdr:col>
      <xdr:colOff>438150</xdr:colOff>
      <xdr:row>18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673475" y="4514850"/>
          <a:ext cx="488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twoCellAnchor>
  <xdr:oneCellAnchor>
    <xdr:from>
      <xdr:col>0</xdr:col>
      <xdr:colOff>641351</xdr:colOff>
      <xdr:row>15</xdr:row>
      <xdr:rowOff>330200</xdr:rowOff>
    </xdr:from>
    <xdr:ext cx="962024" cy="3026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641351" y="4121150"/>
          <a:ext cx="962024" cy="302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Printed Name</a:t>
          </a:r>
        </a:p>
      </xdr:txBody>
    </xdr:sp>
    <xdr:clientData/>
  </xdr:oneCellAnchor>
  <xdr:oneCellAnchor>
    <xdr:from>
      <xdr:col>0</xdr:col>
      <xdr:colOff>635001</xdr:colOff>
      <xdr:row>17</xdr:row>
      <xdr:rowOff>136525</xdr:rowOff>
    </xdr:from>
    <xdr:ext cx="1457324" cy="29313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35001" y="4422775"/>
          <a:ext cx="1457324" cy="2931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Claimant Signature</a:t>
          </a:r>
        </a:p>
      </xdr:txBody>
    </xdr:sp>
    <xdr:clientData/>
  </xdr:oneCellAnchor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2</xdr:row>
      <xdr:rowOff>152400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A5C5624-BC5B-40BC-A109-1AC2D5C3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6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450850</xdr:colOff>
      <xdr:row>0</xdr:row>
      <xdr:rowOff>279400</xdr:rowOff>
    </xdr:from>
    <xdr:to>
      <xdr:col>5</xdr:col>
      <xdr:colOff>12700</xdr:colOff>
      <xdr:row>1</xdr:row>
      <xdr:rowOff>209550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42BD4D8-C03A-4DBD-BC50-3918C0460FBE}"/>
            </a:ext>
          </a:extLst>
        </xdr:cNvPr>
        <xdr:cNvSpPr txBox="1"/>
      </xdr:nvSpPr>
      <xdr:spPr>
        <a:xfrm>
          <a:off x="4184650" y="279400"/>
          <a:ext cx="48895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</a:rPr>
            <a:t>OR</a:t>
          </a:r>
          <a:endParaRPr lang="en-US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19048</xdr:rowOff>
    </xdr:from>
    <xdr:to>
      <xdr:col>7</xdr:col>
      <xdr:colOff>600075</xdr:colOff>
      <xdr:row>103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" y="19048"/>
          <a:ext cx="4867274" cy="16802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Repair Notification Form Instructions</a:t>
          </a:r>
          <a:b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out the Invoice tab prior to using the RNF. </a:t>
          </a: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Section 1 – Station and Consumer Information</a:t>
          </a:r>
          <a:b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endParaRPr lang="en-US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CAP ID Number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Enter the CAP ID number found at the top right side of the Letter of Eligibility.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Customer Name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– Enter the name of the person who brought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vehicle in and signed the estimate. This person should be the one named on the Letter of Eligibility and matches DMV registration form.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Vehicle License Number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– Enter the license plate characters from the vehicle being repaired.</a:t>
          </a: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Vehicle Year -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Enter the model year of the vehicle. Four digits required.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BAR Use ONLY-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When required CAP will provide instructions for the use of this 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field. 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Station License Number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The station’s BAR license number is automatically populated upon entry from the invoice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of this template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Station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Station name automatically populates onc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entered on the invoice form of this template.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Tech Lic #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Enter the technician license number of the technician performing the repair.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Repair Order Reference Number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Enter the identifying number on the station’s repair order.</a:t>
          </a:r>
          <a:endParaRPr lang="en-US" sz="11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Labor Guide Used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From the drop down menu choose the name of the estimating guide used to estimate the cost of the recommended repair.</a:t>
          </a:r>
          <a:endParaRPr lang="en-US" sz="1100">
            <a:effectLst/>
          </a:endParaRP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Station Labor Rate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Station labor rate automatically populates from entry on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invoice form of this template.</a:t>
          </a:r>
          <a:b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Tax Rate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Station tax rate automatically populates onc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entered on the invoice form of this template.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Station Phone Number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Station phone number automatically populates onc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entered on the invoice form of this template.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The printed name of the person who prepared the Repair Notification Form and whose name appears on the Station Questionnaire on file with CAP.</a:t>
          </a:r>
          <a:endParaRPr lang="en-US" sz="11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Title of individual signing Repair Notification.</a:t>
          </a:r>
          <a:endParaRPr lang="en-US" sz="1100">
            <a:effectLst/>
          </a:endParaRP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– The date the Repair Notification is prepared and submitted.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Signature -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 will not be valid without an authorized signature.</a:t>
          </a:r>
          <a:b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Station Fax #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E-Mail Address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The Station’s Fax number or E-Mail  is automatically populated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what is entered on the Invoice form.</a:t>
          </a:r>
          <a:b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Section 2 – Repair Information</a:t>
          </a:r>
          <a:b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endParaRPr lang="en-US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Repair Notification #1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</a:t>
          </a: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first repair strategy to be performed by station.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(This includes any diagnosis and testing.)</a:t>
          </a:r>
          <a:b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Diagnosis must be the first line item entry. Diagnosis may not exceed 1.5 times your labor rate. Refer to the CAP Ops Manual for additional diagnosis information.</a:t>
          </a:r>
          <a:endParaRPr lang="en-US" sz="11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Repair Notification #1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Labor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– Click on the box and a drop down menu will appear. Select, from that menu, the repair that you are performing. If no selection matches the repair you are doing enter a brief description of repair to be performed.</a:t>
          </a:r>
        </a:p>
        <a:p>
          <a:pPr lvl="0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Labor (Time)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– Enter in the Labor units (time) that coincide with the repair performed. The time charged shall not exceed the standard amount of time recognized in a nationally distributed and periodically updated labor estimating guide. </a:t>
          </a:r>
        </a:p>
        <a:p>
          <a:pPr lvl="0">
            <a:lnSpc>
              <a:spcPts val="1100"/>
            </a:lnSpc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Labor Total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– Enter the total amount of labor charges based on your labor units times your labor rate.</a:t>
          </a: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Parts Quantity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– Enter quantity of parts.</a:t>
          </a:r>
        </a:p>
        <a:p>
          <a:pPr lvl="0">
            <a:lnSpc>
              <a:spcPts val="1100"/>
            </a:lnSpc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Parts Price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– Enter parts price.</a:t>
          </a:r>
        </a:p>
        <a:p>
          <a:pPr lvl="0">
            <a:lnSpc>
              <a:spcPts val="1100"/>
            </a:lnSpc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Parts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Total–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Will automatically be calculated based on your parts price times your parts quantity.</a:t>
          </a: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Calculation 1 -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Field calculates automatically. This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 for BAR use only!</a:t>
          </a:r>
          <a:b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Calculation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Field calculates automatically. This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 for BAR use only!</a:t>
          </a:r>
          <a:b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Funds requested over $500 -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Field calculates automatically, amount requires CAP approval prior to begining repairs.</a:t>
          </a:r>
          <a:b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CAP Funds -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Field calculates automatically and will not exceed $500.00.</a:t>
          </a:r>
          <a:br>
            <a:rPr lang="en-US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CAP funds field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and funds requested over $500 field re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present the total authorized CAP funds. The sum of these two fields shall not exceed the maximum benefit amount based on the date and model year of the vehicle.</a:t>
          </a:r>
          <a:endParaRPr lang="en-US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Tax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– Will automatically be calculated based on your tax rate times your parts total.</a:t>
          </a:r>
        </a:p>
        <a:p>
          <a:pPr lvl="0">
            <a:lnSpc>
              <a:spcPts val="1100"/>
            </a:lnSpc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Notification #1 Total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–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Field calculates automatically and is the sum of the entire repair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based on the line totals. (Labor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+ Parts + Tax).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>
            <a:lnSpc>
              <a:spcPts val="1100"/>
            </a:lnSpc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Repair Notification #2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– This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section for use for subsequent repair notifications of the same CAP ID.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All entries function as described above, labor, parts, etc. </a:t>
          </a:r>
        </a:p>
        <a:p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Section 3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– Summary Detail</a:t>
          </a:r>
          <a:b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section is calculated automatically and is a summary of the totals from repair notifications 1 &amp; 2.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DO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NOT Manually Enter Balances!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>
            <a:lnSpc>
              <a:spcPts val="1100"/>
            </a:lnSpc>
          </a:pPr>
          <a:r>
            <a:rPr lang="en-US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Consumer Cost Share is</a:t>
          </a:r>
          <a:r>
            <a:rPr lang="en-US" sz="12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the ONLY field amount to be shared with the consumer.</a:t>
          </a:r>
          <a:endParaRPr lang="en-US" sz="12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NOTE: The Repair Notification Form is designed to be used as a Microsoft Excel spreadsheet. The use of this form as a spreadsheet is highly recommended by CAP. </a:t>
          </a:r>
          <a:endParaRPr lang="en-US" sz="1100"/>
        </a:p>
      </xdr:txBody>
    </xdr:sp>
    <xdr:clientData/>
  </xdr:twoCellAnchor>
  <xdr:twoCellAnchor>
    <xdr:from>
      <xdr:col>7</xdr:col>
      <xdr:colOff>609599</xdr:colOff>
      <xdr:row>0</xdr:row>
      <xdr:rowOff>19049</xdr:rowOff>
    </xdr:from>
    <xdr:to>
      <xdr:col>15</xdr:col>
      <xdr:colOff>161924</xdr:colOff>
      <xdr:row>74</xdr:row>
      <xdr:rowOff>28574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876799" y="19049"/>
          <a:ext cx="4981575" cy="1199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Invoice Form Instructions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This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form to be completed prior to use of this template for repair notifications. (</a:t>
          </a:r>
          <a:r>
            <a:rPr lang="en-U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Fields with red triangles.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endParaRPr lang="en-US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ARD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- Enter your station's ARD number.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Name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station's name as on file with the Bureau of Automotive Repair.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Address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mailing address.</a:t>
          </a: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City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the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city the station is located in.</a:t>
          </a:r>
        </a:p>
        <a:p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Zip Code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Enter the zip code the station is located in.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Phone #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station's phone number.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Station Fax # or E-Mail Address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station's preferred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method of contact for receiving RNFs &amp; other documents, either a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FAX number or E-mail address.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Station invoice billing number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your invoice billing number. Each station shall create a billing numbering/alpha system, which is used to uniquely identify each invoice submitted by the station during the billing process. This numbering/alpha system makes it easier to identify the invoice for follow-up purposes.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Labor Rate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the labor rate that you have on file with CAP. If a change is made to the labor rate the station shall immediately submit (email or fax) a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new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STAR Test and Repair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Station Questionnaire to CAP on a Station Questionnaire (Appendix I) with the correct labor rate to (email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ERNF@dca.ca.gov)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(fax to 916.464.1275)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b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Tax Rate -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the tax rate that you have on file with CAP. If a change is made to the tax rate the station shall immediately submit a new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 Test and Repair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Station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Questionnaire to CAP.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*NOTE: As you complete these areas the Repair Notification Forms will automatically be populated with the information.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Repair Form #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Row 1:</a:t>
          </a: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Bottom half of invoice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form automatically populates upon repair notification entry.</a:t>
          </a:r>
          <a:b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CAP ID Number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Populates from corresponding field for each repair notification tab. (IE Repair 1, Repair 2,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etc.)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Repair Order Date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Populates from corresponding field for each repair notification tab. (IE Repair 1, Repair 2,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etc.)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Vehicle License Number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Populates from corresponding field for each repair notification tab. (IE Repair 1, Repair 2,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etc.)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Labor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–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Populates from corresponding field for each repair notification tab. (IE Repair 1, Repair 2,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etc.)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Parts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Populates from corresponding field for each repair notification tab. (IE Repair 1, Repair 2,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etc.)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Sales Tax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Populates from corresponding field for each repair notification tab. (IE Repair 1, Repair 2,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etc.)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Consumer Paid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Corresponds to the consumer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cost share total. NOTE: This is the only field that may be shared with the consumer.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DO NOT include the $8.25 for the cost of certificate. Itemize the $8.25 cost of certificate on your final invoice.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Total CAP Reimbursement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– Populates automatically from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the CAP total field in section 3 (Summary detail) of each repair tab.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total amount CAP owes you </a:t>
          </a:r>
          <a:r>
            <a:rPr lang="en-US" sz="1100" b="1" i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NOT including the $8.25 for the cost of certificate</a:t>
          </a:r>
          <a:r>
            <a:rPr lang="en-US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  <a:b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Row 2 through Row 5; repeat the process for Row 1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Printed Name -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laimant’s printed name.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Claimant Signature 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Owner/Manager’s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signature in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Blue Ink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(claimant’s name must be the same as on Station Questionnaire form).</a:t>
          </a: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Date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- This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field should be auto populated with the current date.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Grand Total -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Is automatically totaled as the Repair notifications are filled out.</a:t>
          </a:r>
        </a:p>
        <a:p>
          <a:pPr lvl="0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DO NOT 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any information below the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"CAP USE ONLY"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section.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NOTE: The Invoice Form is designed to be used in conjunction with the Repair Notification Form as a Microsoft Excel spreadsheet. The use of this form as a spreadsheet is highly recommended by CAP.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Emailed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Invoice Packages: Invoice packages submitted via email must comply with CAP Operations manual section 6.4 email submission.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5BA5-B560-4ED8-8879-3B3E7349EB97}">
  <sheetPr codeName="Sheet2">
    <tabColor rgb="FFFF0000"/>
  </sheetPr>
  <dimension ref="A1:L31"/>
  <sheetViews>
    <sheetView showZeros="0" tabSelected="1" view="pageLayout" zoomScaleNormal="100" workbookViewId="0">
      <selection activeCell="B5" sqref="B5:C5"/>
    </sheetView>
  </sheetViews>
  <sheetFormatPr defaultColWidth="9.1796875" defaultRowHeight="14.5" x14ac:dyDescent="0.35"/>
  <cols>
    <col min="1" max="1" width="9.7265625" style="9" customWidth="1"/>
    <col min="2" max="2" width="14.54296875" style="9" customWidth="1"/>
    <col min="3" max="3" width="15.1796875" style="9" customWidth="1"/>
    <col min="4" max="4" width="12.7265625" style="35" customWidth="1"/>
    <col min="5" max="5" width="13" style="9" customWidth="1"/>
    <col min="6" max="9" width="13.453125" style="9" customWidth="1"/>
    <col min="10" max="10" width="11.26953125" style="9" customWidth="1"/>
    <col min="11" max="16384" width="9.1796875" style="9"/>
  </cols>
  <sheetData>
    <row r="1" spans="1:12" ht="30" x14ac:dyDescent="0.6">
      <c r="H1" s="36"/>
      <c r="J1" s="8" t="s">
        <v>263</v>
      </c>
    </row>
    <row r="2" spans="1:12" ht="18" customHeight="1" x14ac:dyDescent="0.35">
      <c r="J2" s="129" t="str" cm="1">
        <f t="array" aca="1" ref="J2" ca="1">IFERROR(INDEX(C12:C16, MATCH(TRUE, C12:C16&gt;1, 0)), "")</f>
        <v/>
      </c>
    </row>
    <row r="3" spans="1:12" ht="17.25" customHeight="1" x14ac:dyDescent="0.35">
      <c r="C3" s="37"/>
    </row>
    <row r="4" spans="1:12" ht="10.75" customHeight="1" x14ac:dyDescent="0.35">
      <c r="C4" s="37"/>
    </row>
    <row r="5" spans="1:12" ht="18" customHeight="1" x14ac:dyDescent="0.35">
      <c r="A5" s="152" t="s">
        <v>49</v>
      </c>
      <c r="B5" s="178"/>
      <c r="C5" s="178"/>
      <c r="D5" s="38"/>
      <c r="H5" s="177" t="s">
        <v>48</v>
      </c>
      <c r="I5" s="177"/>
    </row>
    <row r="6" spans="1:12" ht="18" customHeight="1" x14ac:dyDescent="0.35">
      <c r="A6" s="152" t="s">
        <v>47</v>
      </c>
      <c r="B6" s="183"/>
      <c r="C6" s="184"/>
      <c r="D6" s="184"/>
      <c r="E6" s="184"/>
      <c r="F6" s="185"/>
      <c r="G6" s="186" t="s">
        <v>45</v>
      </c>
      <c r="H6" s="187"/>
      <c r="I6" s="138" t="s">
        <v>7</v>
      </c>
    </row>
    <row r="7" spans="1:12" ht="18" customHeight="1" x14ac:dyDescent="0.35">
      <c r="A7" s="152" t="s">
        <v>46</v>
      </c>
      <c r="B7" s="182"/>
      <c r="C7" s="182"/>
      <c r="D7" s="182"/>
      <c r="E7" s="182"/>
      <c r="F7" s="182"/>
      <c r="G7" s="157"/>
      <c r="H7" s="157"/>
      <c r="I7" s="85"/>
      <c r="K7" s="18"/>
      <c r="L7" s="18"/>
    </row>
    <row r="8" spans="1:12" ht="18" customHeight="1" x14ac:dyDescent="0.35">
      <c r="A8" s="152" t="s">
        <v>248</v>
      </c>
      <c r="B8" s="180"/>
      <c r="C8" s="181"/>
      <c r="D8" s="80" t="s">
        <v>265</v>
      </c>
      <c r="E8" s="151" t="s">
        <v>266</v>
      </c>
      <c r="F8" s="153" t="s">
        <v>249</v>
      </c>
      <c r="G8" s="188"/>
      <c r="H8" s="189"/>
      <c r="I8" s="138" t="s">
        <v>12</v>
      </c>
    </row>
    <row r="9" spans="1:12" ht="18" customHeight="1" x14ac:dyDescent="0.35">
      <c r="A9" s="152" t="s">
        <v>253</v>
      </c>
      <c r="B9" s="179"/>
      <c r="C9" s="179"/>
      <c r="D9" s="152" t="s">
        <v>250</v>
      </c>
      <c r="E9" s="182"/>
      <c r="F9" s="182"/>
      <c r="G9" s="182"/>
      <c r="H9" s="182"/>
      <c r="I9" s="104"/>
    </row>
    <row r="10" spans="1:12" ht="8.9" customHeight="1" x14ac:dyDescent="0.4">
      <c r="A10" s="176"/>
      <c r="B10" s="176"/>
      <c r="C10" s="176"/>
      <c r="D10" s="39"/>
      <c r="E10" s="40"/>
      <c r="F10" s="40"/>
      <c r="G10" s="41"/>
      <c r="H10" s="79"/>
      <c r="I10" s="78"/>
    </row>
    <row r="11" spans="1:12" s="43" customFormat="1" ht="25.4" customHeight="1" x14ac:dyDescent="0.25">
      <c r="A11" s="73" t="s">
        <v>44</v>
      </c>
      <c r="B11" s="74" t="s">
        <v>43</v>
      </c>
      <c r="C11" s="73" t="s">
        <v>42</v>
      </c>
      <c r="D11" s="75" t="s">
        <v>41</v>
      </c>
      <c r="E11" s="73" t="s">
        <v>40</v>
      </c>
      <c r="F11" s="73" t="s">
        <v>39</v>
      </c>
      <c r="G11" s="76" t="s">
        <v>38</v>
      </c>
      <c r="H11" s="73" t="s">
        <v>37</v>
      </c>
      <c r="I11" s="73" t="s">
        <v>36</v>
      </c>
      <c r="J11" s="42"/>
    </row>
    <row r="12" spans="1:12" ht="27.25" customHeight="1" x14ac:dyDescent="0.35">
      <c r="A12" s="44">
        <v>1</v>
      </c>
      <c r="B12" s="45" cm="1">
        <f t="array" aca="1" ref="B12" ca="1">INDIRECT("'Repair "&amp;ROWS($A$1:A1)&amp;"'!$B$2")</f>
        <v>0</v>
      </c>
      <c r="C12" s="46" cm="1">
        <f t="array" aca="1" ref="C12" ca="1">INDIRECT("'Repair "&amp;ROWS($A$1:A1)&amp;"'!$I$7")</f>
        <v>0</v>
      </c>
      <c r="D12" s="66" cm="1">
        <f t="array" aca="1" ref="D12" ca="1">INDIRECT("'Repair "&amp;ROWS($A$1:A1)&amp;"'!$B$3")</f>
        <v>0</v>
      </c>
      <c r="E12" s="47" cm="1">
        <f t="array" aca="1" ref="E12" ca="1">INDIRECT("'Repair "&amp;ROWS($A$1:A1)&amp;"'!$A$41")</f>
        <v>0</v>
      </c>
      <c r="F12" s="47" cm="1">
        <f t="array" aca="1" ref="F12" ca="1">INDIRECT("'Repair "&amp;ROWS($A$1:A1)&amp;"'!$B$41")</f>
        <v>0</v>
      </c>
      <c r="G12" s="47" cm="1">
        <f t="array" aca="1" ref="G12" ca="1">INDIRECT("'Repair "&amp;ROWS($A$1:A1)&amp;"'!$C$41")</f>
        <v>0</v>
      </c>
      <c r="H12" s="47" cm="1">
        <f t="array" aca="1" ref="H12" ca="1">INDIRECT("'Repair "&amp;ROWS($A$1:A1)&amp;"'!$G$41")</f>
        <v>0</v>
      </c>
      <c r="I12" s="48" t="str" cm="1">
        <f t="array" aca="1" ref="I12" ca="1">INDIRECT("'Repair "&amp;ROWS($A$1:A1)&amp;"'!$I$41")</f>
        <v/>
      </c>
      <c r="J12" s="18"/>
      <c r="K12" s="18"/>
    </row>
    <row r="13" spans="1:12" ht="27.25" customHeight="1" x14ac:dyDescent="0.35">
      <c r="A13" s="49">
        <v>2</v>
      </c>
      <c r="B13" s="45" cm="1">
        <f t="array" aca="1" ref="B13" ca="1">INDIRECT("'Repair "&amp;ROWS($A$1:A2)&amp;"'!$B$2")</f>
        <v>0</v>
      </c>
      <c r="C13" s="46" cm="1">
        <f t="array" aca="1" ref="C13" ca="1">INDIRECT("'Repair "&amp;ROWS($A$1:A2)&amp;"'!$I$7")</f>
        <v>0</v>
      </c>
      <c r="D13" s="66" cm="1">
        <f t="array" aca="1" ref="D13" ca="1">INDIRECT("'Repair "&amp;ROWS($A$1:A2)&amp;"'!$B$3")</f>
        <v>0</v>
      </c>
      <c r="E13" s="47" cm="1">
        <f t="array" aca="1" ref="E13" ca="1">INDIRECT("'Repair "&amp;ROWS($A$1:A2)&amp;"'!$A$41")</f>
        <v>0</v>
      </c>
      <c r="F13" s="47" cm="1">
        <f t="array" aca="1" ref="F13" ca="1">INDIRECT("'Repair "&amp;ROWS($A$1:A2)&amp;"'!$B$41")</f>
        <v>0</v>
      </c>
      <c r="G13" s="47" cm="1">
        <f t="array" aca="1" ref="G13" ca="1">INDIRECT("'Repair "&amp;ROWS($A$1:A2)&amp;"'!$C$41")</f>
        <v>0</v>
      </c>
      <c r="H13" s="47" cm="1">
        <f t="array" aca="1" ref="H13" ca="1">INDIRECT("'Repair "&amp;ROWS($A$1:A2)&amp;"'!$G$41")</f>
        <v>0</v>
      </c>
      <c r="I13" s="48" t="str" cm="1">
        <f t="array" aca="1" ref="I13" ca="1">INDIRECT("'Repair "&amp;ROWS($A$1:A2)&amp;"'!$I$41")</f>
        <v/>
      </c>
      <c r="J13" s="18"/>
      <c r="K13" s="18"/>
    </row>
    <row r="14" spans="1:12" ht="27.25" customHeight="1" x14ac:dyDescent="0.35">
      <c r="A14" s="49">
        <v>3</v>
      </c>
      <c r="B14" s="45" cm="1">
        <f t="array" aca="1" ref="B14" ca="1">INDIRECT("'Repair "&amp;ROWS($A$1:A3)&amp;"'!$B$2")</f>
        <v>0</v>
      </c>
      <c r="C14" s="46" cm="1">
        <f t="array" aca="1" ref="C14" ca="1">INDIRECT("'Repair "&amp;ROWS($A$1:A3)&amp;"'!$I$7")</f>
        <v>0</v>
      </c>
      <c r="D14" s="66" cm="1">
        <f t="array" aca="1" ref="D14" ca="1">INDIRECT("'Repair "&amp;ROWS($A$1:A3)&amp;"'!$B$3")</f>
        <v>0</v>
      </c>
      <c r="E14" s="47" cm="1">
        <f t="array" aca="1" ref="E14" ca="1">INDIRECT("'Repair "&amp;ROWS($A$1:A3)&amp;"'!$A$41")</f>
        <v>0</v>
      </c>
      <c r="F14" s="47" cm="1">
        <f t="array" aca="1" ref="F14" ca="1">INDIRECT("'Repair "&amp;ROWS($A$1:A3)&amp;"'!$B$41")</f>
        <v>0</v>
      </c>
      <c r="G14" s="47" cm="1">
        <f t="array" aca="1" ref="G14" ca="1">INDIRECT("'Repair "&amp;ROWS($A$1:A3)&amp;"'!$C$41")</f>
        <v>0</v>
      </c>
      <c r="H14" s="47" cm="1">
        <f t="array" aca="1" ref="H14" ca="1">INDIRECT("'Repair "&amp;ROWS($A$1:A3)&amp;"'!$G$41")</f>
        <v>0</v>
      </c>
      <c r="I14" s="48" t="str" cm="1">
        <f t="array" aca="1" ref="I14" ca="1">INDIRECT("'Repair "&amp;ROWS($A$1:A3)&amp;"'!$I$41")</f>
        <v/>
      </c>
      <c r="J14" s="18"/>
      <c r="K14" s="18"/>
    </row>
    <row r="15" spans="1:12" ht="27.25" customHeight="1" x14ac:dyDescent="0.35">
      <c r="A15" s="49">
        <v>4</v>
      </c>
      <c r="B15" s="45" cm="1">
        <f t="array" aca="1" ref="B15" ca="1">INDIRECT("'Repair "&amp;ROWS($A$1:A4)&amp;"'!$B$2")</f>
        <v>0</v>
      </c>
      <c r="C15" s="46" cm="1">
        <f t="array" aca="1" ref="C15" ca="1">INDIRECT("'Repair "&amp;ROWS($A$1:A4)&amp;"'!$I$7")</f>
        <v>0</v>
      </c>
      <c r="D15" s="66" cm="1">
        <f t="array" aca="1" ref="D15" ca="1">INDIRECT("'Repair "&amp;ROWS($A$1:A4)&amp;"'!$B$3")</f>
        <v>0</v>
      </c>
      <c r="E15" s="47" cm="1">
        <f t="array" aca="1" ref="E15" ca="1">INDIRECT("'Repair "&amp;ROWS($A$1:A4)&amp;"'!$A$41")</f>
        <v>0</v>
      </c>
      <c r="F15" s="47" cm="1">
        <f t="array" aca="1" ref="F15" ca="1">INDIRECT("'Repair "&amp;ROWS($A$1:A4)&amp;"'!$B$41")</f>
        <v>0</v>
      </c>
      <c r="G15" s="47" cm="1">
        <f t="array" aca="1" ref="G15" ca="1">INDIRECT("'Repair "&amp;ROWS($A$1:A4)&amp;"'!$C$41")</f>
        <v>0</v>
      </c>
      <c r="H15" s="47" cm="1">
        <f t="array" aca="1" ref="H15" ca="1">INDIRECT("'Repair "&amp;ROWS($A$1:A4)&amp;"'!$G$41")</f>
        <v>0</v>
      </c>
      <c r="I15" s="48" t="str" cm="1">
        <f t="array" aca="1" ref="I15" ca="1">INDIRECT("'Repair "&amp;ROWS($A$1:A4)&amp;"'!$I$41")</f>
        <v/>
      </c>
      <c r="J15" s="18"/>
      <c r="K15" s="18"/>
    </row>
    <row r="16" spans="1:12" ht="27.25" customHeight="1" x14ac:dyDescent="0.35">
      <c r="A16" s="49">
        <v>5</v>
      </c>
      <c r="B16" s="45" cm="1">
        <f t="array" aca="1" ref="B16" ca="1">INDIRECT("'Repair "&amp;ROWS($A$1:A5)&amp;"'!$B$2")</f>
        <v>0</v>
      </c>
      <c r="C16" s="46" cm="1">
        <f t="array" aca="1" ref="C16" ca="1">INDIRECT("'Repair "&amp;ROWS($A$1:A5)&amp;"'!$I$7")</f>
        <v>0</v>
      </c>
      <c r="D16" s="66" cm="1">
        <f t="array" aca="1" ref="D16" ca="1">INDIRECT("'Repair "&amp;ROWS($A$1:A5)&amp;"'!$B$3")</f>
        <v>0</v>
      </c>
      <c r="E16" s="47" cm="1">
        <f t="array" aca="1" ref="E16" ca="1">INDIRECT("'Repair "&amp;ROWS($A$1:A5)&amp;"'!$A$41")</f>
        <v>0</v>
      </c>
      <c r="F16" s="47" cm="1">
        <f t="array" aca="1" ref="F16" ca="1">INDIRECT("'Repair "&amp;ROWS($A$1:A5)&amp;"'!$B$41")</f>
        <v>0</v>
      </c>
      <c r="G16" s="47" cm="1">
        <f t="array" aca="1" ref="G16" ca="1">INDIRECT("'Repair "&amp;ROWS($A$1:A5)&amp;"'!$C$41")</f>
        <v>0</v>
      </c>
      <c r="H16" s="47" cm="1">
        <f t="array" aca="1" ref="H16" ca="1">INDIRECT("'Repair "&amp;ROWS($A$1:A5)&amp;"'!$G$41")</f>
        <v>0</v>
      </c>
      <c r="I16" s="48" t="str" cm="1">
        <f t="array" aca="1" ref="I16" ca="1">INDIRECT("'Repair "&amp;ROWS($A$1:A5)&amp;"'!$I$41")</f>
        <v/>
      </c>
      <c r="J16" s="18"/>
      <c r="K16" s="18"/>
    </row>
    <row r="17" spans="1:10" ht="12" customHeight="1" x14ac:dyDescent="0.35">
      <c r="A17" s="50"/>
      <c r="B17" s="173"/>
      <c r="C17" s="173"/>
      <c r="D17" s="174"/>
      <c r="E17" s="171" t="s">
        <v>35</v>
      </c>
      <c r="F17" s="167" t="s">
        <v>260</v>
      </c>
      <c r="G17" s="168"/>
      <c r="H17" s="158" t="s">
        <v>30</v>
      </c>
      <c r="I17" s="165">
        <f ca="1">SUM(I12:I16)</f>
        <v>0</v>
      </c>
      <c r="J17" s="18"/>
    </row>
    <row r="18" spans="1:10" ht="12" customHeight="1" x14ac:dyDescent="0.35">
      <c r="A18" s="50"/>
      <c r="B18" s="155"/>
      <c r="C18" s="155"/>
      <c r="D18" s="175"/>
      <c r="E18" s="172"/>
      <c r="F18" s="169"/>
      <c r="G18" s="170"/>
      <c r="H18" s="159"/>
      <c r="I18" s="166"/>
      <c r="J18" s="18"/>
    </row>
    <row r="19" spans="1:10" ht="30" customHeight="1" x14ac:dyDescent="0.35">
      <c r="A19" s="50"/>
      <c r="B19" s="155"/>
      <c r="C19" s="156"/>
      <c r="D19" s="156"/>
      <c r="E19" s="161">
        <f ca="1">TODAY()</f>
        <v>45650</v>
      </c>
      <c r="F19" s="161"/>
      <c r="G19" s="51"/>
      <c r="H19" s="41"/>
      <c r="I19" s="50"/>
    </row>
    <row r="20" spans="1:10" ht="6" customHeight="1" thickBot="1" x14ac:dyDescent="0.4">
      <c r="A20" s="50"/>
      <c r="B20" s="52"/>
      <c r="C20" s="53"/>
      <c r="D20" s="54"/>
      <c r="E20" s="55"/>
      <c r="F20" s="41"/>
      <c r="G20" s="51"/>
      <c r="H20" s="41"/>
      <c r="I20" s="50"/>
    </row>
    <row r="21" spans="1:10" ht="14.5" customHeight="1" x14ac:dyDescent="0.35">
      <c r="A21" s="162" t="s">
        <v>252</v>
      </c>
      <c r="B21" s="163"/>
      <c r="C21" s="163"/>
      <c r="D21" s="163"/>
      <c r="E21" s="163"/>
      <c r="F21" s="163"/>
      <c r="G21" s="163"/>
      <c r="H21" s="163"/>
      <c r="I21" s="164"/>
    </row>
    <row r="22" spans="1:10" ht="12.25" customHeight="1" x14ac:dyDescent="0.35">
      <c r="A22" s="118" t="s">
        <v>267</v>
      </c>
      <c r="B22" s="119"/>
      <c r="C22" s="81"/>
      <c r="D22" s="123" t="s">
        <v>261</v>
      </c>
      <c r="F22" s="119"/>
      <c r="G22" s="81"/>
      <c r="H22" s="128" t="s">
        <v>262</v>
      </c>
      <c r="I22" s="84"/>
    </row>
    <row r="23" spans="1:10" ht="21.65" customHeight="1" x14ac:dyDescent="0.35">
      <c r="A23" s="110"/>
      <c r="B23" s="111"/>
      <c r="C23" s="111"/>
      <c r="D23" s="120"/>
      <c r="E23" s="114"/>
      <c r="F23" s="114"/>
      <c r="G23" s="114"/>
      <c r="H23" s="126"/>
      <c r="I23" s="125"/>
    </row>
    <row r="24" spans="1:10" ht="12.25" customHeight="1" x14ac:dyDescent="0.35">
      <c r="A24" s="118" t="s">
        <v>268</v>
      </c>
      <c r="B24" s="119"/>
      <c r="C24" s="82"/>
      <c r="D24" s="121"/>
      <c r="E24" s="83"/>
      <c r="F24" s="83"/>
      <c r="G24" s="83"/>
      <c r="H24" s="127"/>
      <c r="I24" s="124"/>
    </row>
    <row r="25" spans="1:10" ht="20.25" customHeight="1" thickBot="1" x14ac:dyDescent="0.4">
      <c r="A25" s="112"/>
      <c r="B25" s="113"/>
      <c r="C25" s="113"/>
      <c r="D25" s="122"/>
      <c r="E25" s="116"/>
      <c r="F25" s="116"/>
      <c r="G25" s="116"/>
      <c r="H25" s="115"/>
      <c r="I25" s="117"/>
    </row>
    <row r="26" spans="1:10" ht="23.25" customHeight="1" x14ac:dyDescent="0.35">
      <c r="A26" s="56"/>
      <c r="B26" s="160" t="s">
        <v>34</v>
      </c>
      <c r="C26" s="160"/>
      <c r="D26" s="160"/>
      <c r="E26" s="160"/>
      <c r="F26" s="160"/>
      <c r="G26" s="160"/>
      <c r="H26" s="160"/>
      <c r="I26" s="57" t="s">
        <v>264</v>
      </c>
    </row>
    <row r="27" spans="1:10" x14ac:dyDescent="0.35">
      <c r="A27" s="56"/>
      <c r="B27" s="41"/>
      <c r="C27" s="41"/>
      <c r="D27" s="58"/>
      <c r="E27" s="41"/>
      <c r="G27" s="41"/>
      <c r="H27" s="41"/>
    </row>
    <row r="28" spans="1:10" x14ac:dyDescent="0.35">
      <c r="A28" s="56"/>
      <c r="B28" s="41"/>
      <c r="C28" s="41"/>
      <c r="D28" s="58"/>
      <c r="E28" s="41"/>
      <c r="G28" s="41"/>
      <c r="H28" s="41"/>
      <c r="I28" s="41"/>
    </row>
    <row r="30" spans="1:10" ht="21.75" customHeight="1" x14ac:dyDescent="0.35">
      <c r="C30" s="154"/>
      <c r="D30" s="154"/>
      <c r="E30" s="154"/>
      <c r="F30" s="154"/>
      <c r="G30" s="154"/>
      <c r="H30" s="154"/>
    </row>
    <row r="31" spans="1:10" x14ac:dyDescent="0.35">
      <c r="C31" s="154"/>
      <c r="D31" s="154"/>
      <c r="E31" s="154"/>
      <c r="F31" s="154"/>
      <c r="G31" s="154"/>
      <c r="H31" s="154"/>
    </row>
  </sheetData>
  <sheetProtection algorithmName="SHA-512" hashValue="BCByIVV/fl7v15ddeqi/lLuZfaPysf8SH7ZuiKi82TAIYQgcmKJRLX6/pLU7+Z4ko2TVyrpWveScQ3GzKlfIow==" saltValue="j/AH6Bzag42YUbVRHUKZgQ==" spinCount="100000" sheet="1" objects="1" scenarios="1"/>
  <protectedRanges>
    <protectedRange sqref="E9 B5:B9 G7 I7 I9" name="Range1"/>
  </protectedRanges>
  <mergeCells count="22">
    <mergeCell ref="H5:I5"/>
    <mergeCell ref="B5:C5"/>
    <mergeCell ref="B9:C9"/>
    <mergeCell ref="B8:C8"/>
    <mergeCell ref="E9:H9"/>
    <mergeCell ref="B7:F7"/>
    <mergeCell ref="B6:F6"/>
    <mergeCell ref="G6:H6"/>
    <mergeCell ref="G8:H8"/>
    <mergeCell ref="C31:H31"/>
    <mergeCell ref="B19:D19"/>
    <mergeCell ref="C30:H30"/>
    <mergeCell ref="G7:H7"/>
    <mergeCell ref="H17:H18"/>
    <mergeCell ref="B26:H26"/>
    <mergeCell ref="E19:F19"/>
    <mergeCell ref="A21:I21"/>
    <mergeCell ref="I17:I18"/>
    <mergeCell ref="F17:G18"/>
    <mergeCell ref="E17:E18"/>
    <mergeCell ref="B17:D18"/>
    <mergeCell ref="A10:C10"/>
  </mergeCells>
  <conditionalFormatting sqref="C12:C16">
    <cfRule type="expression" dxfId="10" priority="1">
      <formula>AND(C12&lt;&gt;"", COUNTIF($C$12:$C$16, "&lt;&gt;") &gt; 1, IF(MONTH(C12) &gt;= 7, YEAR(C12) + 1, YEAR(C12)) &lt;&gt; IF(MONTH($J$2) &gt;= 7, YEAR($J$2) + 1, YEAR($J$2)))</formula>
    </cfRule>
  </conditionalFormatting>
  <pageMargins left="0.7" right="0.7" top="0.75" bottom="0.75" header="0.3" footer="0.3"/>
  <pageSetup orientation="landscape" r:id="rId1"/>
  <headerFooter differentFirst="1">
    <firstHeader>&amp;C&amp;"-,Bold"&amp;18CAP Invoice Form</first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324F-1E0B-4D35-81F0-D9A3CF394880}">
  <sheetPr codeName="Sheet12">
    <tabColor rgb="FF0070C0"/>
  </sheetPr>
  <dimension ref="A1"/>
  <sheetViews>
    <sheetView zoomScaleNormal="100" workbookViewId="0">
      <selection activeCell="A68" sqref="A68"/>
    </sheetView>
  </sheetViews>
  <sheetFormatPr defaultColWidth="9.1796875" defaultRowHeight="13" x14ac:dyDescent="0.3"/>
  <cols>
    <col min="1" max="8" width="9.1796875" style="6"/>
    <col min="9" max="9" width="17.453125" style="6" customWidth="1"/>
    <col min="10" max="16384" width="9.1796875" style="6"/>
  </cols>
  <sheetData/>
  <sheetProtection algorithmName="SHA-512" hashValue="ROcblYMnOVOXXbmYvym/WfhUxRyex4a2tOtOoNNnfdxSj33N+6es4q1nfUBX78/z8gcISef2byww5B1sSdaj8Q==" saltValue="j5nYkH1P2RTIBJVBrrmw2Q==" spinCount="100000" sheet="1" objects="1" scenarios="1"/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4FF3-B845-41B4-944D-8383693D8713}">
  <sheetPr codeName="Sheet1"/>
  <dimension ref="A1:T42"/>
  <sheetViews>
    <sheetView showZeros="0" view="pageLayout" zoomScaleNormal="100" workbookViewId="0">
      <selection activeCell="B2" sqref="B2:C2"/>
    </sheetView>
  </sheetViews>
  <sheetFormatPr defaultColWidth="9" defaultRowHeight="14.5" x14ac:dyDescent="0.35"/>
  <cols>
    <col min="1" max="1" width="10" style="9" customWidth="1"/>
    <col min="2" max="2" width="9.81640625" style="9" customWidth="1"/>
    <col min="3" max="3" width="9.1796875" style="9" customWidth="1"/>
    <col min="4" max="4" width="9.81640625" style="9" customWidth="1"/>
    <col min="5" max="5" width="9.7265625" style="9" customWidth="1"/>
    <col min="6" max="6" width="9.54296875" style="9" customWidth="1"/>
    <col min="7" max="7" width="11" style="9" customWidth="1"/>
    <col min="8" max="8" width="10.1796875" style="9" customWidth="1"/>
    <col min="9" max="9" width="12.1796875" style="9" customWidth="1"/>
    <col min="10" max="10" width="1.81640625" style="77" customWidth="1"/>
    <col min="11" max="11" width="9" style="8" customWidth="1"/>
    <col min="12" max="12" width="9" style="8"/>
    <col min="13" max="13" width="9" style="8" customWidth="1"/>
    <col min="14" max="16" width="9" style="8"/>
    <col min="17" max="17" width="11.81640625" style="8" customWidth="1"/>
    <col min="18" max="18" width="5.26953125" style="8" customWidth="1"/>
    <col min="19" max="19" width="10.453125" style="8" customWidth="1"/>
    <col min="20" max="20" width="11.7265625" style="8" customWidth="1"/>
    <col min="21" max="16384" width="9" style="9"/>
  </cols>
  <sheetData>
    <row r="1" spans="1:20" ht="21.65" customHeight="1" thickBot="1" x14ac:dyDescent="0.4">
      <c r="A1" s="270" t="s">
        <v>0</v>
      </c>
      <c r="B1" s="271"/>
      <c r="C1" s="271"/>
      <c r="D1" s="271"/>
      <c r="E1" s="271"/>
      <c r="F1" s="271"/>
      <c r="G1" s="271"/>
      <c r="H1" s="271"/>
      <c r="I1" s="272"/>
      <c r="J1" s="92"/>
      <c r="N1" s="86" t="s">
        <v>245</v>
      </c>
    </row>
    <row r="2" spans="1:20" ht="17.25" customHeight="1" thickTop="1" thickBot="1" x14ac:dyDescent="0.4">
      <c r="A2" s="10" t="s">
        <v>4</v>
      </c>
      <c r="B2" s="273"/>
      <c r="C2" s="273"/>
      <c r="D2" s="274" t="s">
        <v>2</v>
      </c>
      <c r="E2" s="275"/>
      <c r="F2" s="287"/>
      <c r="G2" s="288"/>
      <c r="H2" s="288"/>
      <c r="I2" s="288"/>
      <c r="J2" s="93"/>
      <c r="K2" s="87"/>
      <c r="N2" s="8" t="s">
        <v>259</v>
      </c>
      <c r="T2" s="130">
        <v>0</v>
      </c>
    </row>
    <row r="3" spans="1:20" ht="16.5" customHeight="1" thickBot="1" x14ac:dyDescent="0.4">
      <c r="A3" s="11" t="s">
        <v>3</v>
      </c>
      <c r="B3" s="280"/>
      <c r="C3" s="281"/>
      <c r="D3" s="286" t="s">
        <v>6</v>
      </c>
      <c r="E3" s="286"/>
      <c r="F3" s="68"/>
      <c r="G3" s="276" t="s">
        <v>219</v>
      </c>
      <c r="H3" s="277"/>
      <c r="I3" s="67"/>
      <c r="J3" s="94"/>
      <c r="K3" s="8" t="s">
        <v>255</v>
      </c>
    </row>
    <row r="4" spans="1:20" ht="16.5" customHeight="1" x14ac:dyDescent="0.35">
      <c r="A4" s="10" t="s">
        <v>5</v>
      </c>
      <c r="B4" s="284">
        <f>Invoice!B5</f>
        <v>0</v>
      </c>
      <c r="C4" s="285"/>
      <c r="D4" s="286" t="s">
        <v>1</v>
      </c>
      <c r="E4" s="286"/>
      <c r="F4" s="289">
        <f>Invoice!B6</f>
        <v>0</v>
      </c>
      <c r="G4" s="290"/>
      <c r="H4" s="290"/>
      <c r="I4" s="290"/>
      <c r="J4" s="93"/>
      <c r="K4" s="87">
        <f>IF(I3="",0,IF(I3&lt;S6,((S6+500)-I3)-500,0))</f>
        <v>0</v>
      </c>
    </row>
    <row r="5" spans="1:20" ht="16.5" customHeight="1" x14ac:dyDescent="0.35">
      <c r="A5" s="12" t="s">
        <v>8</v>
      </c>
      <c r="B5" s="282"/>
      <c r="C5" s="282"/>
      <c r="D5" s="278" t="s">
        <v>9</v>
      </c>
      <c r="E5" s="279"/>
      <c r="F5" s="105"/>
      <c r="G5" s="12" t="s">
        <v>10</v>
      </c>
      <c r="H5" s="283"/>
      <c r="I5" s="283"/>
      <c r="J5" s="93"/>
      <c r="Q5" s="8" t="s">
        <v>251</v>
      </c>
    </row>
    <row r="6" spans="1:20" ht="16.5" customHeight="1" thickBot="1" x14ac:dyDescent="0.4">
      <c r="A6" s="13" t="s">
        <v>7</v>
      </c>
      <c r="B6" s="268">
        <f>Invoice!I7</f>
        <v>0</v>
      </c>
      <c r="C6" s="268"/>
      <c r="D6" s="269" t="s">
        <v>12</v>
      </c>
      <c r="E6" s="269"/>
      <c r="F6" s="59">
        <f>Invoice!I9</f>
        <v>0</v>
      </c>
      <c r="G6" s="13" t="s">
        <v>26</v>
      </c>
      <c r="H6" s="267">
        <f>Invoice!B9</f>
        <v>0</v>
      </c>
      <c r="I6" s="267"/>
      <c r="J6" s="93"/>
      <c r="L6" s="8" t="s">
        <v>244</v>
      </c>
      <c r="Q6" s="8" t="s">
        <v>258</v>
      </c>
      <c r="S6" s="8">
        <f>IF(I7&lt;=DATE(2020,8,31),0,IF(I7&lt;=DATE(2024,12,31),IF(F3*1&gt;1995,700,400),IF(F3*1&gt;1995,950,600)))</f>
        <v>0</v>
      </c>
    </row>
    <row r="7" spans="1:20" ht="16.5" customHeight="1" thickBot="1" x14ac:dyDescent="0.4">
      <c r="A7" s="14" t="s">
        <v>18</v>
      </c>
      <c r="B7" s="205"/>
      <c r="C7" s="206"/>
      <c r="D7" s="207"/>
      <c r="E7" s="15" t="s">
        <v>27</v>
      </c>
      <c r="F7" s="208"/>
      <c r="G7" s="209"/>
      <c r="H7" s="16" t="s">
        <v>11</v>
      </c>
      <c r="I7" s="72"/>
      <c r="J7" s="95"/>
    </row>
    <row r="8" spans="1:20" ht="12.25" customHeight="1" x14ac:dyDescent="0.35">
      <c r="A8" s="210" t="s">
        <v>28</v>
      </c>
      <c r="B8" s="211"/>
      <c r="C8" s="211"/>
      <c r="D8" s="211"/>
      <c r="E8" s="212"/>
      <c r="F8" s="202" t="s">
        <v>257</v>
      </c>
      <c r="G8" s="203"/>
      <c r="H8" s="203"/>
      <c r="I8" s="204"/>
      <c r="J8" s="93"/>
    </row>
    <row r="9" spans="1:20" ht="16.5" customHeight="1" thickBot="1" x14ac:dyDescent="0.4">
      <c r="A9" s="213"/>
      <c r="B9" s="213"/>
      <c r="C9" s="213"/>
      <c r="D9" s="213"/>
      <c r="E9" s="214"/>
      <c r="F9" s="215">
        <f>Invoice!E9</f>
        <v>0</v>
      </c>
      <c r="G9" s="216"/>
      <c r="H9" s="216"/>
      <c r="I9" s="217"/>
      <c r="J9" s="96"/>
    </row>
    <row r="10" spans="1:20" s="18" customFormat="1" ht="5.9" customHeight="1" thickTop="1" thickBot="1" x14ac:dyDescent="0.4">
      <c r="A10" s="17"/>
      <c r="B10" s="17"/>
      <c r="C10" s="17"/>
      <c r="D10" s="17"/>
      <c r="E10" s="17"/>
      <c r="F10" s="17"/>
      <c r="G10" s="17"/>
      <c r="H10" s="17"/>
      <c r="I10" s="17"/>
      <c r="J10" s="97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s="19" customFormat="1" ht="21.65" customHeight="1" thickTop="1" thickBot="1" x14ac:dyDescent="0.4">
      <c r="A11" s="234" t="s">
        <v>239</v>
      </c>
      <c r="B11" s="235"/>
      <c r="C11" s="235"/>
      <c r="D11" s="235"/>
      <c r="E11" s="235"/>
      <c r="F11" s="235"/>
      <c r="G11" s="235"/>
      <c r="H11" s="235"/>
      <c r="I11" s="236"/>
      <c r="J11" s="98"/>
      <c r="K11" s="195" t="s">
        <v>254</v>
      </c>
      <c r="L11" s="195"/>
      <c r="M11" s="195"/>
      <c r="N11" s="195"/>
      <c r="O11" s="89"/>
      <c r="P11" s="89"/>
      <c r="Q11" s="89"/>
      <c r="R11" s="89"/>
      <c r="S11" s="89"/>
      <c r="T11" s="89"/>
    </row>
    <row r="12" spans="1:20" s="22" customFormat="1" ht="15" customHeight="1" thickTop="1" thickBot="1" x14ac:dyDescent="0.4">
      <c r="A12" s="231" t="s">
        <v>17</v>
      </c>
      <c r="B12" s="232"/>
      <c r="C12" s="232"/>
      <c r="D12" s="233"/>
      <c r="E12" s="20" t="s">
        <v>242</v>
      </c>
      <c r="F12" s="20" t="s">
        <v>13</v>
      </c>
      <c r="G12" s="21" t="s">
        <v>14</v>
      </c>
      <c r="H12" s="20" t="s">
        <v>15</v>
      </c>
      <c r="I12" s="20" t="s">
        <v>16</v>
      </c>
      <c r="J12" s="99"/>
      <c r="K12" s="245" t="s">
        <v>53</v>
      </c>
      <c r="L12" s="245"/>
      <c r="M12" s="90"/>
      <c r="N12" s="90" t="s">
        <v>238</v>
      </c>
      <c r="O12" s="90"/>
      <c r="P12" s="90"/>
      <c r="Q12" s="90"/>
      <c r="R12" s="90"/>
      <c r="S12" s="90"/>
      <c r="T12" s="90"/>
    </row>
    <row r="13" spans="1:20" ht="16.5" customHeight="1" x14ac:dyDescent="0.35">
      <c r="A13" s="190"/>
      <c r="B13" s="191"/>
      <c r="C13" s="191"/>
      <c r="D13" s="192"/>
      <c r="E13" s="107"/>
      <c r="F13" s="62"/>
      <c r="G13" s="61"/>
      <c r="H13" s="62"/>
      <c r="I13" s="23">
        <f t="shared" ref="I13:I24" si="0">G13*H13</f>
        <v>0</v>
      </c>
      <c r="J13" s="100"/>
      <c r="K13" s="241">
        <f>IF(I3="",500,IF(K4=0,IF(I3-S6&gt;500,"RCF Error",I3-S6),0))</f>
        <v>500</v>
      </c>
      <c r="L13" s="241"/>
      <c r="N13" s="87">
        <f>S6-K4</f>
        <v>0</v>
      </c>
      <c r="Q13" s="131">
        <f t="shared" ref="Q13:Q24" si="1">I13*$F$6</f>
        <v>0</v>
      </c>
      <c r="S13" s="8">
        <f>IF(AND(ISEVEN(Q13*10^2),MOD(Q13*10^2,1)&lt;=0.5),ROUNDDOWN(Q13,2),ROUND(Q13,2))</f>
        <v>0</v>
      </c>
    </row>
    <row r="14" spans="1:20" ht="16.5" customHeight="1" x14ac:dyDescent="0.35">
      <c r="A14" s="190"/>
      <c r="B14" s="191"/>
      <c r="C14" s="191"/>
      <c r="D14" s="192"/>
      <c r="E14" s="69"/>
      <c r="F14" s="63"/>
      <c r="G14" s="60"/>
      <c r="H14" s="63"/>
      <c r="I14" s="23">
        <f t="shared" si="0"/>
        <v>0</v>
      </c>
      <c r="J14" s="100"/>
      <c r="M14" s="91"/>
      <c r="Q14" s="131">
        <f t="shared" si="1"/>
        <v>0</v>
      </c>
      <c r="S14" s="8">
        <f t="shared" ref="S14:S24" si="2">IF(AND(ISEVEN(Q14*10^2),MOD(Q14*10^2,1)&lt;=0.5),ROUNDDOWN(Q14,2),ROUND(Q14,2))</f>
        <v>0</v>
      </c>
    </row>
    <row r="15" spans="1:20" ht="16.5" customHeight="1" x14ac:dyDescent="0.35">
      <c r="A15" s="190"/>
      <c r="B15" s="191"/>
      <c r="C15" s="191"/>
      <c r="D15" s="192"/>
      <c r="E15" s="108"/>
      <c r="F15" s="63"/>
      <c r="G15" s="60"/>
      <c r="H15" s="63"/>
      <c r="I15" s="23">
        <f>G15*H15</f>
        <v>0</v>
      </c>
      <c r="J15" s="100"/>
      <c r="K15" s="264" t="s">
        <v>256</v>
      </c>
      <c r="L15" s="264"/>
      <c r="M15" s="264"/>
      <c r="Q15" s="131">
        <f t="shared" si="1"/>
        <v>0</v>
      </c>
      <c r="S15" s="8">
        <f t="shared" si="2"/>
        <v>0</v>
      </c>
    </row>
    <row r="16" spans="1:20" ht="16.5" customHeight="1" x14ac:dyDescent="0.35">
      <c r="A16" s="190"/>
      <c r="B16" s="191"/>
      <c r="C16" s="191"/>
      <c r="D16" s="192"/>
      <c r="E16" s="69"/>
      <c r="F16" s="63"/>
      <c r="G16" s="60"/>
      <c r="H16" s="63"/>
      <c r="I16" s="23">
        <f>G16*H16</f>
        <v>0</v>
      </c>
      <c r="J16" s="100"/>
      <c r="K16" s="242">
        <f>IF(K13=500,0,IF(K13&gt;=0,500-K13,0))</f>
        <v>0</v>
      </c>
      <c r="L16" s="242"/>
      <c r="M16" s="242"/>
      <c r="Q16" s="131">
        <f t="shared" si="1"/>
        <v>0</v>
      </c>
      <c r="S16" s="8">
        <f t="shared" si="2"/>
        <v>0</v>
      </c>
    </row>
    <row r="17" spans="1:20" ht="16.5" customHeight="1" x14ac:dyDescent="0.35">
      <c r="A17" s="190"/>
      <c r="B17" s="191"/>
      <c r="C17" s="191"/>
      <c r="D17" s="192"/>
      <c r="E17" s="69"/>
      <c r="F17" s="63"/>
      <c r="G17" s="60"/>
      <c r="H17" s="63"/>
      <c r="I17" s="23">
        <f t="shared" si="0"/>
        <v>0</v>
      </c>
      <c r="J17" s="100"/>
      <c r="Q17" s="131">
        <f t="shared" si="1"/>
        <v>0</v>
      </c>
      <c r="S17" s="8">
        <f t="shared" si="2"/>
        <v>0</v>
      </c>
    </row>
    <row r="18" spans="1:20" ht="16.5" customHeight="1" x14ac:dyDescent="0.35">
      <c r="A18" s="190"/>
      <c r="B18" s="191"/>
      <c r="C18" s="191"/>
      <c r="D18" s="192"/>
      <c r="E18" s="69"/>
      <c r="F18" s="63"/>
      <c r="G18" s="70"/>
      <c r="H18" s="63"/>
      <c r="I18" s="23">
        <f t="shared" si="0"/>
        <v>0</v>
      </c>
      <c r="J18" s="100"/>
      <c r="K18" s="240" t="s">
        <v>50</v>
      </c>
      <c r="L18" s="240"/>
      <c r="Q18" s="131">
        <f t="shared" si="1"/>
        <v>0</v>
      </c>
      <c r="S18" s="8">
        <f t="shared" si="2"/>
        <v>0</v>
      </c>
    </row>
    <row r="19" spans="1:20" ht="16.5" customHeight="1" x14ac:dyDescent="0.35">
      <c r="A19" s="190"/>
      <c r="B19" s="191"/>
      <c r="C19" s="191"/>
      <c r="D19" s="192"/>
      <c r="E19" s="69"/>
      <c r="F19" s="63"/>
      <c r="G19" s="60"/>
      <c r="H19" s="63"/>
      <c r="I19" s="23">
        <f t="shared" si="0"/>
        <v>0</v>
      </c>
      <c r="J19" s="100"/>
      <c r="K19" s="241">
        <f>T26+(K16/0.8)+(K4/0.8)</f>
        <v>0</v>
      </c>
      <c r="L19" s="240"/>
      <c r="Q19" s="131">
        <f t="shared" si="1"/>
        <v>0</v>
      </c>
      <c r="S19" s="8">
        <f t="shared" si="2"/>
        <v>0</v>
      </c>
    </row>
    <row r="20" spans="1:20" ht="16.5" customHeight="1" x14ac:dyDescent="0.35">
      <c r="A20" s="190"/>
      <c r="B20" s="191"/>
      <c r="C20" s="191"/>
      <c r="D20" s="192"/>
      <c r="E20" s="69"/>
      <c r="F20" s="63"/>
      <c r="G20" s="60"/>
      <c r="H20" s="63"/>
      <c r="I20" s="23">
        <f t="shared" si="0"/>
        <v>0</v>
      </c>
      <c r="J20" s="100"/>
      <c r="Q20" s="131">
        <f t="shared" si="1"/>
        <v>0</v>
      </c>
      <c r="S20" s="8">
        <f t="shared" si="2"/>
        <v>0</v>
      </c>
    </row>
    <row r="21" spans="1:20" ht="16.5" customHeight="1" x14ac:dyDescent="0.35">
      <c r="A21" s="190"/>
      <c r="B21" s="191"/>
      <c r="C21" s="191"/>
      <c r="D21" s="192"/>
      <c r="E21" s="69"/>
      <c r="F21" s="63"/>
      <c r="G21" s="60"/>
      <c r="H21" s="63"/>
      <c r="I21" s="23">
        <f t="shared" si="0"/>
        <v>0</v>
      </c>
      <c r="J21" s="100"/>
      <c r="K21" s="237" t="s">
        <v>51</v>
      </c>
      <c r="L21" s="237"/>
      <c r="Q21" s="131">
        <f t="shared" si="1"/>
        <v>0</v>
      </c>
      <c r="S21" s="8">
        <f t="shared" si="2"/>
        <v>0</v>
      </c>
    </row>
    <row r="22" spans="1:20" ht="16.5" customHeight="1" x14ac:dyDescent="0.35">
      <c r="A22" s="190"/>
      <c r="B22" s="191"/>
      <c r="C22" s="191"/>
      <c r="D22" s="192"/>
      <c r="E22" s="69"/>
      <c r="F22" s="63"/>
      <c r="G22" s="60"/>
      <c r="H22" s="63"/>
      <c r="I22" s="24">
        <f t="shared" si="0"/>
        <v>0</v>
      </c>
      <c r="J22" s="100"/>
      <c r="K22" s="8" t="s">
        <v>40</v>
      </c>
      <c r="L22" s="8" t="s">
        <v>39</v>
      </c>
      <c r="Q22" s="131">
        <f t="shared" si="1"/>
        <v>0</v>
      </c>
      <c r="S22" s="8">
        <f t="shared" si="2"/>
        <v>0</v>
      </c>
    </row>
    <row r="23" spans="1:20" ht="16.5" customHeight="1" x14ac:dyDescent="0.35">
      <c r="A23" s="190"/>
      <c r="B23" s="191"/>
      <c r="C23" s="191"/>
      <c r="D23" s="192"/>
      <c r="E23" s="69"/>
      <c r="F23" s="63"/>
      <c r="G23" s="60"/>
      <c r="H23" s="63"/>
      <c r="I23" s="23">
        <f t="shared" si="0"/>
        <v>0</v>
      </c>
      <c r="J23" s="100"/>
      <c r="K23" s="87">
        <f>SUM(F13:F24)</f>
        <v>0</v>
      </c>
      <c r="L23" s="87">
        <f>SUM(I13:I24)</f>
        <v>0</v>
      </c>
      <c r="Q23" s="131">
        <f t="shared" si="1"/>
        <v>0</v>
      </c>
      <c r="S23" s="8">
        <f t="shared" si="2"/>
        <v>0</v>
      </c>
    </row>
    <row r="24" spans="1:20" ht="16.5" customHeight="1" thickBot="1" x14ac:dyDescent="0.4">
      <c r="A24" s="228"/>
      <c r="B24" s="229"/>
      <c r="C24" s="229"/>
      <c r="D24" s="230"/>
      <c r="E24" s="109"/>
      <c r="F24" s="65"/>
      <c r="G24" s="64"/>
      <c r="H24" s="65"/>
      <c r="I24" s="25">
        <f t="shared" si="0"/>
        <v>0</v>
      </c>
      <c r="J24" s="100"/>
      <c r="Q24" s="131">
        <f t="shared" si="1"/>
        <v>0</v>
      </c>
      <c r="S24" s="8">
        <f t="shared" si="2"/>
        <v>0</v>
      </c>
    </row>
    <row r="25" spans="1:20" ht="24" customHeight="1" thickTop="1" x14ac:dyDescent="0.35">
      <c r="A25" s="251" t="s">
        <v>217</v>
      </c>
      <c r="B25" s="251"/>
      <c r="C25" s="251" t="s">
        <v>218</v>
      </c>
      <c r="D25" s="251"/>
      <c r="E25" s="251" t="s">
        <v>243</v>
      </c>
      <c r="F25" s="251"/>
      <c r="G25" s="26" t="s">
        <v>29</v>
      </c>
      <c r="H25" s="27" t="s">
        <v>22</v>
      </c>
      <c r="I25" s="28" t="s">
        <v>19</v>
      </c>
      <c r="J25" s="101"/>
      <c r="K25" s="239" t="s">
        <v>21</v>
      </c>
      <c r="L25" s="239"/>
      <c r="M25" s="239" t="s">
        <v>23</v>
      </c>
      <c r="N25" s="239"/>
      <c r="O25" s="239" t="s">
        <v>20</v>
      </c>
      <c r="P25" s="239"/>
      <c r="Q25" s="239" t="s">
        <v>29</v>
      </c>
      <c r="R25" s="239"/>
      <c r="S25" s="137" t="s">
        <v>22</v>
      </c>
      <c r="T25" s="134" t="s">
        <v>52</v>
      </c>
    </row>
    <row r="26" spans="1:20" ht="18.649999999999999" customHeight="1" thickBot="1" x14ac:dyDescent="0.4">
      <c r="A26" s="261">
        <f>K26</f>
        <v>0</v>
      </c>
      <c r="B26" s="261"/>
      <c r="C26" s="261">
        <f>M26</f>
        <v>0</v>
      </c>
      <c r="D26" s="261"/>
      <c r="E26" s="261">
        <f>O26</f>
        <v>0</v>
      </c>
      <c r="F26" s="261"/>
      <c r="G26" s="29">
        <f>Q26</f>
        <v>0</v>
      </c>
      <c r="H26" s="29">
        <f>S26</f>
        <v>0</v>
      </c>
      <c r="I26" s="29">
        <f>T26</f>
        <v>0</v>
      </c>
      <c r="J26" s="94"/>
      <c r="K26" s="244">
        <f>IF(S6=0,0,T26*0.2)</f>
        <v>0</v>
      </c>
      <c r="L26" s="245"/>
      <c r="M26" s="244">
        <f>IF(S6=0,IF((T26-K13)&gt;0,T26-K13,0),T26-(Q26+O26+K26))</f>
        <v>0</v>
      </c>
      <c r="N26" s="245"/>
      <c r="O26" s="244">
        <f>IF(S6=0,0,IF(Q26=K13,IF(K19&lt;(625+N13+(N13/0.8)*0.2),((K19-((K16+K4)+((K16+K4)/0.8)*0.2))*0.8)-Q26,N13),0))</f>
        <v>0</v>
      </c>
      <c r="P26" s="244"/>
      <c r="Q26" s="244">
        <f>IF(S6=0,IF(T26&gt;K13,K13,T26),IF(T26*0.8&gt;K13,K13,T26*0.8))</f>
        <v>0</v>
      </c>
      <c r="R26" s="244"/>
      <c r="S26" s="136">
        <f>SUM(S13:S24)</f>
        <v>0</v>
      </c>
      <c r="T26" s="136">
        <f>K23+L23+S26</f>
        <v>0</v>
      </c>
    </row>
    <row r="27" spans="1:20" ht="5.9" customHeight="1" thickTop="1" thickBot="1" x14ac:dyDescent="0.4">
      <c r="A27" s="17"/>
      <c r="B27" s="17"/>
      <c r="C27" s="17"/>
      <c r="D27" s="17"/>
      <c r="E27" s="17"/>
      <c r="F27" s="17"/>
      <c r="G27" s="17"/>
      <c r="H27" s="17"/>
      <c r="I27" s="30"/>
      <c r="J27" s="97"/>
    </row>
    <row r="28" spans="1:20" ht="15" customHeight="1" thickTop="1" thickBot="1" x14ac:dyDescent="0.4">
      <c r="A28" s="248" t="s">
        <v>24</v>
      </c>
      <c r="B28" s="248"/>
      <c r="C28" s="248"/>
      <c r="D28" s="248"/>
      <c r="E28" s="31" t="s">
        <v>242</v>
      </c>
      <c r="F28" s="31" t="s">
        <v>13</v>
      </c>
      <c r="G28" s="32" t="s">
        <v>14</v>
      </c>
      <c r="H28" s="31" t="s">
        <v>15</v>
      </c>
      <c r="I28" s="31" t="s">
        <v>16</v>
      </c>
      <c r="J28" s="99"/>
      <c r="K28" s="240" t="s">
        <v>50</v>
      </c>
      <c r="L28" s="240"/>
    </row>
    <row r="29" spans="1:20" ht="16.5" customHeight="1" x14ac:dyDescent="0.35">
      <c r="A29" s="190"/>
      <c r="B29" s="191"/>
      <c r="C29" s="191"/>
      <c r="D29" s="192"/>
      <c r="E29" s="107"/>
      <c r="F29" s="62"/>
      <c r="G29" s="61"/>
      <c r="H29" s="62"/>
      <c r="I29" s="23">
        <f t="shared" ref="I29:I34" si="3">G29*H29</f>
        <v>0</v>
      </c>
      <c r="J29" s="100"/>
      <c r="K29" s="241">
        <f>T26+T36+(K16/0.8)+(K4/0.8)</f>
        <v>0</v>
      </c>
      <c r="L29" s="240"/>
      <c r="O29" s="91" t="s">
        <v>247</v>
      </c>
      <c r="Q29" s="132">
        <f>I29*$F$6</f>
        <v>0</v>
      </c>
      <c r="S29" s="133">
        <f>IF(AND(ISEVEN(Q29*10^2),MOD(Q29*10^2,1)&lt;=0.5),ROUNDDOWN(Q29,2),ROUND(Q29,2))</f>
        <v>0</v>
      </c>
    </row>
    <row r="30" spans="1:20" ht="16.5" customHeight="1" x14ac:dyDescent="0.35">
      <c r="A30" s="190"/>
      <c r="B30" s="191"/>
      <c r="C30" s="191"/>
      <c r="D30" s="192"/>
      <c r="E30" s="69"/>
      <c r="F30" s="106"/>
      <c r="G30" s="60"/>
      <c r="H30" s="63"/>
      <c r="I30" s="23">
        <f t="shared" si="3"/>
        <v>0</v>
      </c>
      <c r="J30" s="100"/>
      <c r="M30" s="87"/>
      <c r="O30" s="8">
        <f>IF(OR(ROUND(H41,2)&lt;N13,H41="Error"),"Fix",)</f>
        <v>0</v>
      </c>
      <c r="P30" s="87"/>
      <c r="Q30" s="132">
        <f t="shared" ref="Q30:Q34" si="4">I30*$F$6</f>
        <v>0</v>
      </c>
      <c r="S30" s="133">
        <f t="shared" ref="S30:S34" si="5">IF(AND(ISEVEN(Q30*10^2),MOD(Q30*10^2,1)&lt;=0.5),ROUNDDOWN(Q30,2),ROUND(Q30,2))</f>
        <v>0</v>
      </c>
    </row>
    <row r="31" spans="1:20" ht="16.5" customHeight="1" x14ac:dyDescent="0.35">
      <c r="A31" s="190"/>
      <c r="B31" s="191"/>
      <c r="C31" s="191"/>
      <c r="D31" s="192"/>
      <c r="E31" s="69"/>
      <c r="F31" s="63"/>
      <c r="G31" s="60"/>
      <c r="H31" s="63"/>
      <c r="I31" s="23">
        <f t="shared" si="3"/>
        <v>0</v>
      </c>
      <c r="J31" s="100"/>
      <c r="K31" s="237" t="s">
        <v>55</v>
      </c>
      <c r="L31" s="237"/>
      <c r="M31" s="243" t="s">
        <v>246</v>
      </c>
      <c r="N31" s="243"/>
      <c r="Q31" s="132">
        <f t="shared" si="4"/>
        <v>0</v>
      </c>
      <c r="S31" s="133">
        <f t="shared" si="5"/>
        <v>0</v>
      </c>
    </row>
    <row r="32" spans="1:20" ht="16.5" customHeight="1" x14ac:dyDescent="0.35">
      <c r="A32" s="190"/>
      <c r="B32" s="191"/>
      <c r="C32" s="191"/>
      <c r="D32" s="192"/>
      <c r="E32" s="69"/>
      <c r="F32" s="63"/>
      <c r="G32" s="60"/>
      <c r="H32" s="63"/>
      <c r="I32" s="23">
        <f t="shared" si="3"/>
        <v>0</v>
      </c>
      <c r="J32" s="100"/>
      <c r="K32" s="8" t="s">
        <v>40</v>
      </c>
      <c r="L32" s="8" t="s">
        <v>39</v>
      </c>
      <c r="M32" s="240" t="s">
        <v>235</v>
      </c>
      <c r="N32" s="240"/>
      <c r="O32" s="240" t="s">
        <v>236</v>
      </c>
      <c r="P32" s="240"/>
      <c r="Q32" s="132">
        <f t="shared" si="4"/>
        <v>0</v>
      </c>
      <c r="S32" s="133">
        <f t="shared" si="5"/>
        <v>0</v>
      </c>
    </row>
    <row r="33" spans="1:20" ht="16.5" customHeight="1" x14ac:dyDescent="0.35">
      <c r="A33" s="190"/>
      <c r="B33" s="191"/>
      <c r="C33" s="191"/>
      <c r="D33" s="192"/>
      <c r="E33" s="69"/>
      <c r="F33" s="63"/>
      <c r="G33" s="60"/>
      <c r="H33" s="63"/>
      <c r="I33" s="23">
        <f t="shared" si="3"/>
        <v>0</v>
      </c>
      <c r="J33" s="100"/>
      <c r="K33" s="87">
        <f>SUM(F29:F34)</f>
        <v>0</v>
      </c>
      <c r="L33" s="87">
        <f>SUM(I29:I34)</f>
        <v>0</v>
      </c>
      <c r="M33" s="241">
        <f>IF((Q41-((K13*100)/80))*0.8&gt;S6,S6,(Q41-((K13*100)/80))*0.8)</f>
        <v>-500</v>
      </c>
      <c r="N33" s="240"/>
      <c r="O33" s="241">
        <f>IF(T36&gt;0,IF(M33&lt;0,,IF(ROUND(M33,2)=N13,0,M33)),)</f>
        <v>0</v>
      </c>
      <c r="P33" s="241"/>
      <c r="Q33" s="132">
        <f t="shared" si="4"/>
        <v>0</v>
      </c>
      <c r="S33" s="133">
        <f t="shared" si="5"/>
        <v>0</v>
      </c>
    </row>
    <row r="34" spans="1:20" ht="16.5" customHeight="1" thickBot="1" x14ac:dyDescent="0.4">
      <c r="A34" s="228"/>
      <c r="B34" s="229"/>
      <c r="C34" s="229"/>
      <c r="D34" s="230"/>
      <c r="E34" s="109"/>
      <c r="F34" s="65"/>
      <c r="G34" s="64"/>
      <c r="H34" s="65"/>
      <c r="I34" s="25">
        <f t="shared" si="3"/>
        <v>0</v>
      </c>
      <c r="J34" s="100"/>
      <c r="Q34" s="132">
        <f t="shared" si="4"/>
        <v>0</v>
      </c>
      <c r="S34" s="133">
        <f t="shared" si="5"/>
        <v>0</v>
      </c>
    </row>
    <row r="35" spans="1:20" ht="26.25" customHeight="1" thickTop="1" x14ac:dyDescent="0.35">
      <c r="A35" s="251" t="s">
        <v>237</v>
      </c>
      <c r="B35" s="251"/>
      <c r="C35" s="251" t="s">
        <v>241</v>
      </c>
      <c r="D35" s="251"/>
      <c r="E35" s="251" t="s">
        <v>243</v>
      </c>
      <c r="F35" s="251"/>
      <c r="G35" s="26" t="s">
        <v>29</v>
      </c>
      <c r="H35" s="27" t="s">
        <v>22</v>
      </c>
      <c r="I35" s="28" t="s">
        <v>25</v>
      </c>
      <c r="J35" s="101"/>
      <c r="K35" s="239" t="s">
        <v>21</v>
      </c>
      <c r="L35" s="239"/>
      <c r="M35" s="239" t="s">
        <v>23</v>
      </c>
      <c r="N35" s="239"/>
      <c r="O35" s="239" t="s">
        <v>20</v>
      </c>
      <c r="P35" s="239"/>
      <c r="Q35" s="239" t="s">
        <v>29</v>
      </c>
      <c r="R35" s="239"/>
      <c r="S35" s="137" t="s">
        <v>22</v>
      </c>
      <c r="T35" s="134" t="s">
        <v>54</v>
      </c>
    </row>
    <row r="36" spans="1:20" ht="18.649999999999999" customHeight="1" thickBot="1" x14ac:dyDescent="0.4">
      <c r="A36" s="261">
        <f>K36</f>
        <v>0</v>
      </c>
      <c r="B36" s="261"/>
      <c r="C36" s="252">
        <f>M36</f>
        <v>0</v>
      </c>
      <c r="D36" s="253"/>
      <c r="E36" s="261">
        <f>O36</f>
        <v>0</v>
      </c>
      <c r="F36" s="261"/>
      <c r="G36" s="29">
        <f>Q36</f>
        <v>0</v>
      </c>
      <c r="H36" s="29">
        <f>S36</f>
        <v>0</v>
      </c>
      <c r="I36" s="29">
        <f>T36</f>
        <v>0</v>
      </c>
      <c r="J36" s="94"/>
      <c r="K36" s="242">
        <f>IF(S6=0,0,T36*0.2)</f>
        <v>0</v>
      </c>
      <c r="L36" s="242"/>
      <c r="M36" s="242">
        <f>IF(AND(S6=0,T36&gt;0),IF((T36-(K13-Q26))&gt;0,T36-(K13-Q26),0),T36-(Q36+O36+K36))</f>
        <v>0</v>
      </c>
      <c r="N36" s="242"/>
      <c r="O36" s="242">
        <f>IF(S6=0,0,IF(Q26+Q36=K13,IF(K29&lt;(625+N13+(N13/0.8)*0.2),((K29-(625+O26+(O26/0.8)*0.2))*0.8)-K4,N13-O26),0))</f>
        <v>0</v>
      </c>
      <c r="P36" s="242"/>
      <c r="Q36" s="242">
        <f>IF(AND(S6=0,T36&gt;0),IF(K13-Q26&gt;T36,T36,K13-Q26),IF(T36*0.8&gt;K13-Q26, K13-Q26,T36*0.8))</f>
        <v>0</v>
      </c>
      <c r="R36" s="242"/>
      <c r="S36" s="135">
        <f>SUM(S29:S34)</f>
        <v>0</v>
      </c>
      <c r="T36" s="135">
        <f>K33+L33+S36</f>
        <v>0</v>
      </c>
    </row>
    <row r="37" spans="1:20" ht="5.9" customHeight="1" thickTop="1" thickBot="1" x14ac:dyDescent="0.4">
      <c r="A37" s="33"/>
      <c r="B37" s="33"/>
      <c r="C37" s="34"/>
      <c r="D37" s="34"/>
      <c r="E37" s="34"/>
      <c r="F37" s="33"/>
      <c r="G37" s="33"/>
      <c r="H37" s="34"/>
      <c r="I37" s="34"/>
      <c r="J37" s="102"/>
    </row>
    <row r="38" spans="1:20" ht="21.65" customHeight="1" thickTop="1" thickBot="1" x14ac:dyDescent="0.4">
      <c r="A38" s="258" t="s">
        <v>240</v>
      </c>
      <c r="B38" s="258"/>
      <c r="C38" s="258"/>
      <c r="D38" s="258"/>
      <c r="E38" s="258"/>
      <c r="F38" s="258"/>
      <c r="G38" s="258"/>
      <c r="H38" s="258"/>
      <c r="I38" s="258"/>
      <c r="J38" s="92"/>
      <c r="O38" s="8">
        <f>IF(Q26+Q36=K13,IF(K29&lt;(625+N13+(N13/0.8)*0.2),1,2),0)</f>
        <v>0</v>
      </c>
    </row>
    <row r="39" spans="1:20" ht="22.5" customHeight="1" thickTop="1" x14ac:dyDescent="0.35">
      <c r="A39" s="262" t="s">
        <v>13</v>
      </c>
      <c r="B39" s="265" t="s">
        <v>16</v>
      </c>
      <c r="C39" s="246" t="s">
        <v>22</v>
      </c>
      <c r="D39" s="249" t="s">
        <v>216</v>
      </c>
      <c r="E39" s="256" t="s">
        <v>221</v>
      </c>
      <c r="F39" s="257"/>
      <c r="G39" s="249" t="s">
        <v>220</v>
      </c>
      <c r="H39" s="259" t="s">
        <v>243</v>
      </c>
      <c r="I39" s="193" t="s">
        <v>56</v>
      </c>
      <c r="J39" s="101"/>
      <c r="M39" s="237" t="s">
        <v>30</v>
      </c>
      <c r="N39" s="237"/>
      <c r="S39" s="238" t="s">
        <v>33</v>
      </c>
      <c r="T39" s="238" t="s">
        <v>32</v>
      </c>
    </row>
    <row r="40" spans="1:20" ht="13.5" customHeight="1" thickBot="1" x14ac:dyDescent="0.4">
      <c r="A40" s="263"/>
      <c r="B40" s="266"/>
      <c r="C40" s="247"/>
      <c r="D40" s="250"/>
      <c r="E40" s="254" t="s">
        <v>219</v>
      </c>
      <c r="F40" s="255"/>
      <c r="G40" s="250"/>
      <c r="H40" s="260"/>
      <c r="I40" s="194"/>
      <c r="J40" s="103"/>
      <c r="M40" s="90" t="s">
        <v>40</v>
      </c>
      <c r="N40" s="90" t="s">
        <v>39</v>
      </c>
      <c r="P40" s="90" t="s">
        <v>31</v>
      </c>
      <c r="Q40" s="90" t="s">
        <v>30</v>
      </c>
      <c r="S40" s="238"/>
      <c r="T40" s="238"/>
    </row>
    <row r="41" spans="1:20" ht="14.25" customHeight="1" x14ac:dyDescent="0.35">
      <c r="A41" s="196">
        <f>M41</f>
        <v>0</v>
      </c>
      <c r="B41" s="198">
        <f>N41</f>
        <v>0</v>
      </c>
      <c r="C41" s="200">
        <f>P41</f>
        <v>0</v>
      </c>
      <c r="D41" s="222">
        <f>Q41</f>
        <v>0</v>
      </c>
      <c r="E41" s="224">
        <f>K26+K36</f>
        <v>0</v>
      </c>
      <c r="F41" s="226">
        <f>M26+M36</f>
        <v>0</v>
      </c>
      <c r="G41" s="222">
        <f>S41</f>
        <v>0</v>
      </c>
      <c r="H41" s="220">
        <f>IF(I41="Error","Error",O26+O36)</f>
        <v>0</v>
      </c>
      <c r="I41" s="218" t="str">
        <f>T41</f>
        <v/>
      </c>
      <c r="J41" s="94"/>
      <c r="M41" s="135">
        <f>K23+K33</f>
        <v>0</v>
      </c>
      <c r="N41" s="135">
        <f>L23+L33</f>
        <v>0</v>
      </c>
      <c r="O41" s="90"/>
      <c r="P41" s="135">
        <f>S26+S36</f>
        <v>0</v>
      </c>
      <c r="Q41" s="135">
        <f>T26+T36</f>
        <v>0</v>
      </c>
      <c r="S41" s="135">
        <f>K26+M26+K36+M36</f>
        <v>0</v>
      </c>
      <c r="T41" s="135" t="str">
        <f>IF(K13="RCF Error",K13,IF(Q26+O26+O36+Q36=0,"",IF(I7="","Date Required",Q26+O26+O36+Q36)))</f>
        <v/>
      </c>
    </row>
    <row r="42" spans="1:20" ht="9" customHeight="1" thickBot="1" x14ac:dyDescent="0.4">
      <c r="A42" s="197"/>
      <c r="B42" s="199"/>
      <c r="C42" s="201"/>
      <c r="D42" s="223"/>
      <c r="E42" s="225"/>
      <c r="F42" s="227"/>
      <c r="G42" s="223"/>
      <c r="H42" s="221"/>
      <c r="I42" s="219"/>
      <c r="J42" s="94"/>
    </row>
  </sheetData>
  <sheetProtection algorithmName="SHA-512" hashValue="78q6rejOlPX5m7pPVOw00uyH7LgbAIWidS/Mgdm6u+OZqgS8m9Ne+XpoW5AxLzHDZVrACfGIZWQr2ka9dEj4kw==" saltValue="993gsIGBYSs6JKEd6GBP1g==" spinCount="100000" sheet="1" objects="1" scenarios="1"/>
  <dataConsolidate/>
  <mergeCells count="108">
    <mergeCell ref="H6:I6"/>
    <mergeCell ref="B6:C6"/>
    <mergeCell ref="D6:E6"/>
    <mergeCell ref="A1:I1"/>
    <mergeCell ref="B2:C2"/>
    <mergeCell ref="D2:E2"/>
    <mergeCell ref="G3:H3"/>
    <mergeCell ref="D5:E5"/>
    <mergeCell ref="B3:C3"/>
    <mergeCell ref="B5:C5"/>
    <mergeCell ref="H5:I5"/>
    <mergeCell ref="B4:C4"/>
    <mergeCell ref="D4:E4"/>
    <mergeCell ref="F2:I2"/>
    <mergeCell ref="F4:I4"/>
    <mergeCell ref="D3:E3"/>
    <mergeCell ref="A23:D23"/>
    <mergeCell ref="K12:L12"/>
    <mergeCell ref="K13:L13"/>
    <mergeCell ref="K35:L35"/>
    <mergeCell ref="A38:I38"/>
    <mergeCell ref="H39:H40"/>
    <mergeCell ref="E25:F25"/>
    <mergeCell ref="A25:B25"/>
    <mergeCell ref="C25:D25"/>
    <mergeCell ref="A26:B26"/>
    <mergeCell ref="C26:D26"/>
    <mergeCell ref="E26:F26"/>
    <mergeCell ref="A18:D18"/>
    <mergeCell ref="A19:D19"/>
    <mergeCell ref="A20:D20"/>
    <mergeCell ref="A21:D21"/>
    <mergeCell ref="A36:B36"/>
    <mergeCell ref="E36:F36"/>
    <mergeCell ref="A33:D33"/>
    <mergeCell ref="A34:D34"/>
    <mergeCell ref="A39:A40"/>
    <mergeCell ref="K15:M15"/>
    <mergeCell ref="K16:M16"/>
    <mergeCell ref="B39:B40"/>
    <mergeCell ref="M26:N26"/>
    <mergeCell ref="O26:P26"/>
    <mergeCell ref="Q26:R26"/>
    <mergeCell ref="K25:L25"/>
    <mergeCell ref="M25:N25"/>
    <mergeCell ref="O25:P25"/>
    <mergeCell ref="C39:C40"/>
    <mergeCell ref="A28:D28"/>
    <mergeCell ref="A29:D29"/>
    <mergeCell ref="A30:D30"/>
    <mergeCell ref="A31:D31"/>
    <mergeCell ref="A32:D32"/>
    <mergeCell ref="G39:G40"/>
    <mergeCell ref="A35:B35"/>
    <mergeCell ref="C35:D35"/>
    <mergeCell ref="E35:F35"/>
    <mergeCell ref="C36:D36"/>
    <mergeCell ref="E40:F40"/>
    <mergeCell ref="E39:F39"/>
    <mergeCell ref="D39:D40"/>
    <mergeCell ref="A16:D16"/>
    <mergeCell ref="M39:N39"/>
    <mergeCell ref="S39:S40"/>
    <mergeCell ref="T39:T40"/>
    <mergeCell ref="Q35:R35"/>
    <mergeCell ref="K28:L28"/>
    <mergeCell ref="K31:L31"/>
    <mergeCell ref="K29:L29"/>
    <mergeCell ref="Q36:R36"/>
    <mergeCell ref="O36:P36"/>
    <mergeCell ref="M36:N36"/>
    <mergeCell ref="K36:L36"/>
    <mergeCell ref="O35:P35"/>
    <mergeCell ref="M35:N35"/>
    <mergeCell ref="M32:N32"/>
    <mergeCell ref="M33:N33"/>
    <mergeCell ref="O32:P32"/>
    <mergeCell ref="O33:P33"/>
    <mergeCell ref="M31:N31"/>
    <mergeCell ref="K21:L21"/>
    <mergeCell ref="K18:L18"/>
    <mergeCell ref="K19:L19"/>
    <mergeCell ref="Q25:R25"/>
    <mergeCell ref="K26:L26"/>
    <mergeCell ref="A17:D17"/>
    <mergeCell ref="I39:I40"/>
    <mergeCell ref="K11:N11"/>
    <mergeCell ref="A41:A42"/>
    <mergeCell ref="B41:B42"/>
    <mergeCell ref="C41:C42"/>
    <mergeCell ref="F8:I8"/>
    <mergeCell ref="B7:D7"/>
    <mergeCell ref="F7:G7"/>
    <mergeCell ref="A8:E9"/>
    <mergeCell ref="F9:I9"/>
    <mergeCell ref="I41:I42"/>
    <mergeCell ref="H41:H42"/>
    <mergeCell ref="D41:D42"/>
    <mergeCell ref="E41:E42"/>
    <mergeCell ref="F41:F42"/>
    <mergeCell ref="G41:G42"/>
    <mergeCell ref="A24:D24"/>
    <mergeCell ref="A12:D12"/>
    <mergeCell ref="A11:I11"/>
    <mergeCell ref="A22:D22"/>
    <mergeCell ref="A13:D13"/>
    <mergeCell ref="A14:D14"/>
    <mergeCell ref="A15:D15"/>
  </mergeCells>
  <conditionalFormatting sqref="E13:E24 E29:E34">
    <cfRule type="expression" dxfId="9" priority="2">
      <formula>TRUNC(E13*10) &lt;&gt; E13*10</formula>
    </cfRule>
  </conditionalFormatting>
  <conditionalFormatting sqref="F13:F24 F29:F34">
    <cfRule type="expression" dxfId="8" priority="1">
      <formula>$B$6*E13&lt;&gt;F13</formula>
    </cfRule>
  </conditionalFormatting>
  <dataValidations count="3">
    <dataValidation type="decimal" showInputMessage="1" showErrorMessage="1" sqref="I3" xr:uid="{1E4BD9E1-80B6-47E0-9616-43AB8A3FFCAE}">
      <formula1>0</formula1>
      <formula2>S6+500</formula2>
    </dataValidation>
    <dataValidation type="whole" allowBlank="1" showInputMessage="1" showErrorMessage="1" sqref="B2:C2" xr:uid="{FFDD2654-600B-4ED4-AAC7-3B1D508387C9}">
      <formula1>1000000</formula1>
      <formula2>9999999</formula2>
    </dataValidation>
    <dataValidation type="date" allowBlank="1" showInputMessage="1" showErrorMessage="1" sqref="I7" xr:uid="{FC5C853C-ECAF-4AB1-97E0-5FC4F49535B0}">
      <formula1>40179</formula1>
      <formula2>TODAY()</formula2>
    </dataValidation>
  </dataValidations>
  <pageMargins left="0.5" right="0.5" top="0.6" bottom="0.4" header="0.2" footer="0.2"/>
  <pageSetup orientation="portrait" r:id="rId1"/>
  <headerFooter differentOddEven="1">
    <oddHeader>&amp;L&amp;"Times New Roman,Bold"&amp;14&amp;K000000Repair Notification Form&amp;C&amp;"Times New Roman,Bold"&amp;14Fax To: 888.336.8334&amp;R&amp;"Times New Roman,Bold"&amp;14E-Mail: ERNF@dca.ca.gov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C3783C4-FEFC-4F81-91AB-1819B4B79305}">
          <x14:formula1>
            <xm:f>Dropdown!$C$2:$C$10</xm:f>
          </x14:formula1>
          <xm:sqref>H5:I5</xm:sqref>
        </x14:dataValidation>
        <x14:dataValidation type="list" allowBlank="1" showInputMessage="1" xr:uid="{056133B3-6694-4184-9972-FF528C98E70B}">
          <x14:formula1>
            <xm:f>Dropdown!$A$2:$A$164</xm:f>
          </x14:formula1>
          <xm:sqref>A13:D24 A29:D34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B067-D61C-470C-A760-763ED05360EA}">
  <dimension ref="A1:T42"/>
  <sheetViews>
    <sheetView showZeros="0" view="pageLayout" zoomScaleNormal="100" workbookViewId="0">
      <selection activeCell="B2" sqref="B2:C2"/>
    </sheetView>
  </sheetViews>
  <sheetFormatPr defaultColWidth="9" defaultRowHeight="14.5" x14ac:dyDescent="0.35"/>
  <cols>
    <col min="1" max="1" width="10" style="9" customWidth="1"/>
    <col min="2" max="2" width="9.81640625" style="9" customWidth="1"/>
    <col min="3" max="3" width="9.1796875" style="9" customWidth="1"/>
    <col min="4" max="4" width="9.81640625" style="9" customWidth="1"/>
    <col min="5" max="5" width="9.7265625" style="9" customWidth="1"/>
    <col min="6" max="6" width="9.54296875" style="9" customWidth="1"/>
    <col min="7" max="7" width="11" style="9" customWidth="1"/>
    <col min="8" max="8" width="10.1796875" style="9" customWidth="1"/>
    <col min="9" max="9" width="12.1796875" style="9" customWidth="1"/>
    <col min="10" max="10" width="1.81640625" style="77" customWidth="1"/>
    <col min="11" max="11" width="9" style="8" customWidth="1"/>
    <col min="12" max="12" width="9" style="8"/>
    <col min="13" max="13" width="9" style="8" customWidth="1"/>
    <col min="14" max="16" width="9" style="8"/>
    <col min="17" max="17" width="11.81640625" style="8" customWidth="1"/>
    <col min="18" max="18" width="5.26953125" style="8" customWidth="1"/>
    <col min="19" max="19" width="10.453125" style="8" customWidth="1"/>
    <col min="20" max="20" width="11.7265625" style="8" customWidth="1"/>
    <col min="21" max="16384" width="9" style="9"/>
  </cols>
  <sheetData>
    <row r="1" spans="1:20" ht="21.65" customHeight="1" thickBot="1" x14ac:dyDescent="0.4">
      <c r="A1" s="270" t="s">
        <v>0</v>
      </c>
      <c r="B1" s="271"/>
      <c r="C1" s="271"/>
      <c r="D1" s="271"/>
      <c r="E1" s="271"/>
      <c r="F1" s="271"/>
      <c r="G1" s="271"/>
      <c r="H1" s="271"/>
      <c r="I1" s="272"/>
      <c r="J1" s="92"/>
      <c r="N1" s="86" t="s">
        <v>245</v>
      </c>
    </row>
    <row r="2" spans="1:20" ht="17.25" customHeight="1" thickTop="1" thickBot="1" x14ac:dyDescent="0.4">
      <c r="A2" s="10" t="s">
        <v>4</v>
      </c>
      <c r="B2" s="273"/>
      <c r="C2" s="273"/>
      <c r="D2" s="274" t="s">
        <v>2</v>
      </c>
      <c r="E2" s="275"/>
      <c r="F2" s="287"/>
      <c r="G2" s="288"/>
      <c r="H2" s="288"/>
      <c r="I2" s="288"/>
      <c r="J2" s="93"/>
      <c r="K2" s="87"/>
      <c r="N2" s="8" t="s">
        <v>259</v>
      </c>
      <c r="T2" s="130">
        <v>0</v>
      </c>
    </row>
    <row r="3" spans="1:20" ht="16.5" customHeight="1" thickBot="1" x14ac:dyDescent="0.4">
      <c r="A3" s="148" t="s">
        <v>3</v>
      </c>
      <c r="B3" s="280"/>
      <c r="C3" s="281"/>
      <c r="D3" s="286" t="s">
        <v>6</v>
      </c>
      <c r="E3" s="286"/>
      <c r="F3" s="68"/>
      <c r="G3" s="276" t="s">
        <v>219</v>
      </c>
      <c r="H3" s="277"/>
      <c r="I3" s="67"/>
      <c r="J3" s="94"/>
      <c r="K3" s="8" t="s">
        <v>255</v>
      </c>
    </row>
    <row r="4" spans="1:20" ht="16.5" customHeight="1" x14ac:dyDescent="0.35">
      <c r="A4" s="10" t="s">
        <v>5</v>
      </c>
      <c r="B4" s="284">
        <f>Invoice!B5</f>
        <v>0</v>
      </c>
      <c r="C4" s="285"/>
      <c r="D4" s="286" t="s">
        <v>1</v>
      </c>
      <c r="E4" s="286"/>
      <c r="F4" s="289">
        <f>Invoice!B6</f>
        <v>0</v>
      </c>
      <c r="G4" s="290"/>
      <c r="H4" s="290"/>
      <c r="I4" s="290"/>
      <c r="J4" s="93"/>
      <c r="K4" s="87">
        <f>IF(I3="",0,IF(I3&lt;S6,((S6+500)-I3)-500,0))</f>
        <v>0</v>
      </c>
    </row>
    <row r="5" spans="1:20" ht="16.5" customHeight="1" x14ac:dyDescent="0.35">
      <c r="A5" s="150" t="s">
        <v>8</v>
      </c>
      <c r="B5" s="282"/>
      <c r="C5" s="282"/>
      <c r="D5" s="278" t="s">
        <v>9</v>
      </c>
      <c r="E5" s="279"/>
      <c r="F5" s="105"/>
      <c r="G5" s="150" t="s">
        <v>10</v>
      </c>
      <c r="H5" s="283"/>
      <c r="I5" s="283"/>
      <c r="J5" s="93"/>
      <c r="Q5" s="8" t="s">
        <v>251</v>
      </c>
    </row>
    <row r="6" spans="1:20" ht="16.5" customHeight="1" thickBot="1" x14ac:dyDescent="0.4">
      <c r="A6" s="146" t="s">
        <v>7</v>
      </c>
      <c r="B6" s="268">
        <f>Invoice!I7</f>
        <v>0</v>
      </c>
      <c r="C6" s="268"/>
      <c r="D6" s="269" t="s">
        <v>12</v>
      </c>
      <c r="E6" s="269"/>
      <c r="F6" s="59">
        <f>Invoice!I9</f>
        <v>0</v>
      </c>
      <c r="G6" s="146" t="s">
        <v>26</v>
      </c>
      <c r="H6" s="267">
        <f>Invoice!B9</f>
        <v>0</v>
      </c>
      <c r="I6" s="267"/>
      <c r="J6" s="93"/>
      <c r="L6" s="8" t="s">
        <v>244</v>
      </c>
      <c r="Q6" s="8" t="s">
        <v>258</v>
      </c>
      <c r="S6" s="8">
        <f>IF(I7&lt;=DATE(2020,8,31),0,IF(I7&lt;=DATE(2024,12,31),IF(F3*1&gt;1995,700,400),IF(F3*1&gt;1995,950,600)))</f>
        <v>0</v>
      </c>
    </row>
    <row r="7" spans="1:20" ht="16.5" customHeight="1" thickBot="1" x14ac:dyDescent="0.4">
      <c r="A7" s="14" t="s">
        <v>18</v>
      </c>
      <c r="B7" s="205"/>
      <c r="C7" s="206"/>
      <c r="D7" s="207"/>
      <c r="E7" s="139" t="s">
        <v>27</v>
      </c>
      <c r="F7" s="208"/>
      <c r="G7" s="209"/>
      <c r="H7" s="16" t="s">
        <v>11</v>
      </c>
      <c r="I7" s="72"/>
      <c r="J7" s="95"/>
    </row>
    <row r="8" spans="1:20" ht="12.25" customHeight="1" x14ac:dyDescent="0.35">
      <c r="A8" s="210" t="s">
        <v>28</v>
      </c>
      <c r="B8" s="211"/>
      <c r="C8" s="211"/>
      <c r="D8" s="211"/>
      <c r="E8" s="212"/>
      <c r="F8" s="202" t="s">
        <v>257</v>
      </c>
      <c r="G8" s="203"/>
      <c r="H8" s="203"/>
      <c r="I8" s="204"/>
      <c r="J8" s="93"/>
    </row>
    <row r="9" spans="1:20" ht="16.5" customHeight="1" thickBot="1" x14ac:dyDescent="0.4">
      <c r="A9" s="213"/>
      <c r="B9" s="213"/>
      <c r="C9" s="213"/>
      <c r="D9" s="213"/>
      <c r="E9" s="214"/>
      <c r="F9" s="215">
        <f>Invoice!E9</f>
        <v>0</v>
      </c>
      <c r="G9" s="216"/>
      <c r="H9" s="216"/>
      <c r="I9" s="217"/>
      <c r="J9" s="96"/>
    </row>
    <row r="10" spans="1:20" s="18" customFormat="1" ht="5.9" customHeight="1" thickTop="1" thickBot="1" x14ac:dyDescent="0.4">
      <c r="A10" s="17"/>
      <c r="B10" s="17"/>
      <c r="C10" s="17"/>
      <c r="D10" s="17"/>
      <c r="E10" s="17"/>
      <c r="F10" s="17"/>
      <c r="G10" s="17"/>
      <c r="H10" s="17"/>
      <c r="I10" s="17"/>
      <c r="J10" s="97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s="19" customFormat="1" ht="21.65" customHeight="1" thickTop="1" thickBot="1" x14ac:dyDescent="0.4">
      <c r="A11" s="234" t="s">
        <v>239</v>
      </c>
      <c r="B11" s="235"/>
      <c r="C11" s="235"/>
      <c r="D11" s="235"/>
      <c r="E11" s="235"/>
      <c r="F11" s="235"/>
      <c r="G11" s="235"/>
      <c r="H11" s="235"/>
      <c r="I11" s="236"/>
      <c r="J11" s="98"/>
      <c r="K11" s="195" t="s">
        <v>254</v>
      </c>
      <c r="L11" s="195"/>
      <c r="M11" s="195"/>
      <c r="N11" s="195"/>
      <c r="O11" s="89"/>
      <c r="P11" s="89"/>
      <c r="Q11" s="89"/>
      <c r="R11" s="89"/>
      <c r="S11" s="89"/>
      <c r="T11" s="89"/>
    </row>
    <row r="12" spans="1:20" s="22" customFormat="1" ht="15" customHeight="1" thickTop="1" thickBot="1" x14ac:dyDescent="0.4">
      <c r="A12" s="231" t="s">
        <v>17</v>
      </c>
      <c r="B12" s="232"/>
      <c r="C12" s="232"/>
      <c r="D12" s="233"/>
      <c r="E12" s="20" t="s">
        <v>242</v>
      </c>
      <c r="F12" s="20" t="s">
        <v>13</v>
      </c>
      <c r="G12" s="21" t="s">
        <v>14</v>
      </c>
      <c r="H12" s="20" t="s">
        <v>15</v>
      </c>
      <c r="I12" s="20" t="s">
        <v>16</v>
      </c>
      <c r="J12" s="99"/>
      <c r="K12" s="245" t="s">
        <v>53</v>
      </c>
      <c r="L12" s="245"/>
      <c r="M12" s="90"/>
      <c r="N12" s="90" t="s">
        <v>238</v>
      </c>
      <c r="O12" s="90"/>
      <c r="P12" s="90"/>
      <c r="Q12" s="90"/>
      <c r="R12" s="90"/>
      <c r="S12" s="90"/>
      <c r="T12" s="90"/>
    </row>
    <row r="13" spans="1:20" ht="16.5" customHeight="1" x14ac:dyDescent="0.35">
      <c r="A13" s="190"/>
      <c r="B13" s="191"/>
      <c r="C13" s="191"/>
      <c r="D13" s="192"/>
      <c r="E13" s="107"/>
      <c r="F13" s="62"/>
      <c r="G13" s="149"/>
      <c r="H13" s="62"/>
      <c r="I13" s="23">
        <f t="shared" ref="I13:I24" si="0">G13*H13</f>
        <v>0</v>
      </c>
      <c r="J13" s="100"/>
      <c r="K13" s="241">
        <f>IF(I3="",500,IF(K4=0,IF(I3-S6&gt;500,"RCF Error",I3-S6),0))</f>
        <v>500</v>
      </c>
      <c r="L13" s="241"/>
      <c r="N13" s="87">
        <f>S6-K4</f>
        <v>0</v>
      </c>
      <c r="Q13" s="131">
        <f t="shared" ref="Q13:Q24" si="1">I13*$F$6</f>
        <v>0</v>
      </c>
      <c r="S13" s="8">
        <f>IF(AND(ISEVEN(Q13*10^2),MOD(Q13*10^2,1)&lt;=0.5),ROUNDDOWN(Q13,2),ROUND(Q13,2))</f>
        <v>0</v>
      </c>
    </row>
    <row r="14" spans="1:20" ht="16.5" customHeight="1" x14ac:dyDescent="0.35">
      <c r="A14" s="190"/>
      <c r="B14" s="191"/>
      <c r="C14" s="191"/>
      <c r="D14" s="192"/>
      <c r="E14" s="69"/>
      <c r="F14" s="63"/>
      <c r="G14" s="147"/>
      <c r="H14" s="63"/>
      <c r="I14" s="23">
        <f t="shared" si="0"/>
        <v>0</v>
      </c>
      <c r="J14" s="100"/>
      <c r="M14" s="91"/>
      <c r="Q14" s="131">
        <f t="shared" si="1"/>
        <v>0</v>
      </c>
      <c r="S14" s="8">
        <f t="shared" ref="S14:S24" si="2">IF(AND(ISEVEN(Q14*10^2),MOD(Q14*10^2,1)&lt;=0.5),ROUNDDOWN(Q14,2),ROUND(Q14,2))</f>
        <v>0</v>
      </c>
    </row>
    <row r="15" spans="1:20" ht="16.5" customHeight="1" x14ac:dyDescent="0.35">
      <c r="A15" s="190"/>
      <c r="B15" s="191"/>
      <c r="C15" s="191"/>
      <c r="D15" s="192"/>
      <c r="E15" s="108"/>
      <c r="F15" s="63"/>
      <c r="G15" s="147"/>
      <c r="H15" s="63"/>
      <c r="I15" s="23">
        <f>G15*H15</f>
        <v>0</v>
      </c>
      <c r="J15" s="100"/>
      <c r="K15" s="264" t="s">
        <v>256</v>
      </c>
      <c r="L15" s="264"/>
      <c r="M15" s="264"/>
      <c r="Q15" s="131">
        <f t="shared" si="1"/>
        <v>0</v>
      </c>
      <c r="S15" s="8">
        <f t="shared" si="2"/>
        <v>0</v>
      </c>
    </row>
    <row r="16" spans="1:20" ht="16.5" customHeight="1" x14ac:dyDescent="0.35">
      <c r="A16" s="190"/>
      <c r="B16" s="191"/>
      <c r="C16" s="191"/>
      <c r="D16" s="192"/>
      <c r="E16" s="69"/>
      <c r="F16" s="63"/>
      <c r="G16" s="147"/>
      <c r="H16" s="63"/>
      <c r="I16" s="23">
        <f>G16*H16</f>
        <v>0</v>
      </c>
      <c r="J16" s="100"/>
      <c r="K16" s="242">
        <f>IF(K13=500,0,IF(K13&gt;=0,500-K13,0))</f>
        <v>0</v>
      </c>
      <c r="L16" s="242"/>
      <c r="M16" s="242"/>
      <c r="Q16" s="131">
        <f t="shared" si="1"/>
        <v>0</v>
      </c>
      <c r="S16" s="8">
        <f t="shared" si="2"/>
        <v>0</v>
      </c>
    </row>
    <row r="17" spans="1:20" ht="16.5" customHeight="1" x14ac:dyDescent="0.35">
      <c r="A17" s="190"/>
      <c r="B17" s="191"/>
      <c r="C17" s="191"/>
      <c r="D17" s="192"/>
      <c r="E17" s="69"/>
      <c r="F17" s="63"/>
      <c r="G17" s="147"/>
      <c r="H17" s="63"/>
      <c r="I17" s="23">
        <f t="shared" si="0"/>
        <v>0</v>
      </c>
      <c r="J17" s="100"/>
      <c r="Q17" s="131">
        <f t="shared" si="1"/>
        <v>0</v>
      </c>
      <c r="S17" s="8">
        <f t="shared" si="2"/>
        <v>0</v>
      </c>
    </row>
    <row r="18" spans="1:20" ht="16.5" customHeight="1" x14ac:dyDescent="0.35">
      <c r="A18" s="190"/>
      <c r="B18" s="191"/>
      <c r="C18" s="191"/>
      <c r="D18" s="192"/>
      <c r="E18" s="69"/>
      <c r="F18" s="63"/>
      <c r="G18" s="147"/>
      <c r="H18" s="63"/>
      <c r="I18" s="23">
        <f t="shared" si="0"/>
        <v>0</v>
      </c>
      <c r="J18" s="100"/>
      <c r="K18" s="240" t="s">
        <v>50</v>
      </c>
      <c r="L18" s="240"/>
      <c r="Q18" s="131">
        <f t="shared" si="1"/>
        <v>0</v>
      </c>
      <c r="S18" s="8">
        <f t="shared" si="2"/>
        <v>0</v>
      </c>
    </row>
    <row r="19" spans="1:20" ht="16.5" customHeight="1" x14ac:dyDescent="0.35">
      <c r="A19" s="190"/>
      <c r="B19" s="191"/>
      <c r="C19" s="191"/>
      <c r="D19" s="192"/>
      <c r="E19" s="69"/>
      <c r="F19" s="63"/>
      <c r="G19" s="147"/>
      <c r="H19" s="63"/>
      <c r="I19" s="23">
        <f t="shared" si="0"/>
        <v>0</v>
      </c>
      <c r="J19" s="100"/>
      <c r="K19" s="241">
        <f>T26+(K16/0.8)+(K4/0.8)</f>
        <v>0</v>
      </c>
      <c r="L19" s="240"/>
      <c r="Q19" s="131">
        <f t="shared" si="1"/>
        <v>0</v>
      </c>
      <c r="S19" s="8">
        <f t="shared" si="2"/>
        <v>0</v>
      </c>
    </row>
    <row r="20" spans="1:20" ht="16.5" customHeight="1" x14ac:dyDescent="0.35">
      <c r="A20" s="190"/>
      <c r="B20" s="191"/>
      <c r="C20" s="191"/>
      <c r="D20" s="192"/>
      <c r="E20" s="69"/>
      <c r="F20" s="63"/>
      <c r="G20" s="147"/>
      <c r="H20" s="63"/>
      <c r="I20" s="23">
        <f t="shared" si="0"/>
        <v>0</v>
      </c>
      <c r="J20" s="100"/>
      <c r="Q20" s="131">
        <f t="shared" si="1"/>
        <v>0</v>
      </c>
      <c r="S20" s="8">
        <f t="shared" si="2"/>
        <v>0</v>
      </c>
    </row>
    <row r="21" spans="1:20" ht="16.5" customHeight="1" x14ac:dyDescent="0.35">
      <c r="A21" s="190"/>
      <c r="B21" s="191"/>
      <c r="C21" s="191"/>
      <c r="D21" s="192"/>
      <c r="E21" s="69"/>
      <c r="F21" s="63"/>
      <c r="G21" s="147"/>
      <c r="H21" s="63"/>
      <c r="I21" s="23">
        <f t="shared" si="0"/>
        <v>0</v>
      </c>
      <c r="J21" s="100"/>
      <c r="K21" s="237" t="s">
        <v>51</v>
      </c>
      <c r="L21" s="237"/>
      <c r="Q21" s="131">
        <f t="shared" si="1"/>
        <v>0</v>
      </c>
      <c r="S21" s="8">
        <f t="shared" si="2"/>
        <v>0</v>
      </c>
    </row>
    <row r="22" spans="1:20" ht="16.5" customHeight="1" x14ac:dyDescent="0.35">
      <c r="A22" s="190"/>
      <c r="B22" s="191"/>
      <c r="C22" s="191"/>
      <c r="D22" s="192"/>
      <c r="E22" s="69"/>
      <c r="F22" s="63"/>
      <c r="G22" s="147"/>
      <c r="H22" s="63"/>
      <c r="I22" s="24">
        <f t="shared" si="0"/>
        <v>0</v>
      </c>
      <c r="J22" s="100"/>
      <c r="K22" s="8" t="s">
        <v>40</v>
      </c>
      <c r="L22" s="8" t="s">
        <v>39</v>
      </c>
      <c r="Q22" s="131">
        <f t="shared" si="1"/>
        <v>0</v>
      </c>
      <c r="S22" s="8">
        <f t="shared" si="2"/>
        <v>0</v>
      </c>
    </row>
    <row r="23" spans="1:20" ht="16.5" customHeight="1" x14ac:dyDescent="0.35">
      <c r="A23" s="190"/>
      <c r="B23" s="191"/>
      <c r="C23" s="191"/>
      <c r="D23" s="192"/>
      <c r="E23" s="69"/>
      <c r="F23" s="63"/>
      <c r="G23" s="147"/>
      <c r="H23" s="63"/>
      <c r="I23" s="23">
        <f t="shared" si="0"/>
        <v>0</v>
      </c>
      <c r="J23" s="100"/>
      <c r="K23" s="87">
        <f>SUM(F13:F24)</f>
        <v>0</v>
      </c>
      <c r="L23" s="87">
        <f>SUM(I13:I24)</f>
        <v>0</v>
      </c>
      <c r="Q23" s="131">
        <f t="shared" si="1"/>
        <v>0</v>
      </c>
      <c r="S23" s="8">
        <f t="shared" si="2"/>
        <v>0</v>
      </c>
    </row>
    <row r="24" spans="1:20" ht="16.5" customHeight="1" thickBot="1" x14ac:dyDescent="0.4">
      <c r="A24" s="228"/>
      <c r="B24" s="229"/>
      <c r="C24" s="229"/>
      <c r="D24" s="230"/>
      <c r="E24" s="109"/>
      <c r="F24" s="65"/>
      <c r="G24" s="64"/>
      <c r="H24" s="65"/>
      <c r="I24" s="25">
        <f t="shared" si="0"/>
        <v>0</v>
      </c>
      <c r="J24" s="100"/>
      <c r="Q24" s="131">
        <f t="shared" si="1"/>
        <v>0</v>
      </c>
      <c r="S24" s="8">
        <f t="shared" si="2"/>
        <v>0</v>
      </c>
    </row>
    <row r="25" spans="1:20" ht="24" customHeight="1" thickTop="1" x14ac:dyDescent="0.35">
      <c r="A25" s="251" t="s">
        <v>217</v>
      </c>
      <c r="B25" s="251"/>
      <c r="C25" s="251" t="s">
        <v>218</v>
      </c>
      <c r="D25" s="251"/>
      <c r="E25" s="251" t="s">
        <v>243</v>
      </c>
      <c r="F25" s="251"/>
      <c r="G25" s="26" t="s">
        <v>29</v>
      </c>
      <c r="H25" s="27" t="s">
        <v>22</v>
      </c>
      <c r="I25" s="144" t="s">
        <v>19</v>
      </c>
      <c r="J25" s="101"/>
      <c r="K25" s="239" t="s">
        <v>21</v>
      </c>
      <c r="L25" s="239"/>
      <c r="M25" s="239" t="s">
        <v>23</v>
      </c>
      <c r="N25" s="239"/>
      <c r="O25" s="239" t="s">
        <v>20</v>
      </c>
      <c r="P25" s="239"/>
      <c r="Q25" s="239" t="s">
        <v>29</v>
      </c>
      <c r="R25" s="239"/>
      <c r="S25" s="143" t="s">
        <v>22</v>
      </c>
      <c r="T25" s="140" t="s">
        <v>52</v>
      </c>
    </row>
    <row r="26" spans="1:20" ht="18.649999999999999" customHeight="1" thickBot="1" x14ac:dyDescent="0.4">
      <c r="A26" s="261">
        <f>K26</f>
        <v>0</v>
      </c>
      <c r="B26" s="261"/>
      <c r="C26" s="261">
        <f>M26</f>
        <v>0</v>
      </c>
      <c r="D26" s="261"/>
      <c r="E26" s="261">
        <f>O26</f>
        <v>0</v>
      </c>
      <c r="F26" s="261"/>
      <c r="G26" s="145">
        <f>Q26</f>
        <v>0</v>
      </c>
      <c r="H26" s="145">
        <f>S26</f>
        <v>0</v>
      </c>
      <c r="I26" s="145">
        <f>T26</f>
        <v>0</v>
      </c>
      <c r="J26" s="94"/>
      <c r="K26" s="244">
        <f>IF(S6=0,0,T26*0.2)</f>
        <v>0</v>
      </c>
      <c r="L26" s="245"/>
      <c r="M26" s="244">
        <f>IF(S6=0,IF((T26-K13)&gt;0,T26-K13,0),T26-(Q26+O26+K26))</f>
        <v>0</v>
      </c>
      <c r="N26" s="245"/>
      <c r="O26" s="244">
        <f>IF(S6=0,0,IF(Q26=K13,IF(K19&lt;(625+N13+(N13/0.8)*0.2),((K19-((K16+K4)+((K16+K4)/0.8)*0.2))*0.8)-Q26,N13),0))</f>
        <v>0</v>
      </c>
      <c r="P26" s="244"/>
      <c r="Q26" s="244">
        <f>IF(S6=0,IF(T26&gt;K13,K13,T26),IF(T26*0.8&gt;K13,K13,T26*0.8))</f>
        <v>0</v>
      </c>
      <c r="R26" s="244"/>
      <c r="S26" s="142">
        <f>SUM(S13:S24)</f>
        <v>0</v>
      </c>
      <c r="T26" s="142">
        <f>K23+L23+S26</f>
        <v>0</v>
      </c>
    </row>
    <row r="27" spans="1:20" ht="5.9" customHeight="1" thickTop="1" thickBot="1" x14ac:dyDescent="0.4">
      <c r="A27" s="17"/>
      <c r="B27" s="17"/>
      <c r="C27" s="17"/>
      <c r="D27" s="17"/>
      <c r="E27" s="17"/>
      <c r="F27" s="17"/>
      <c r="G27" s="17"/>
      <c r="H27" s="17"/>
      <c r="I27" s="30"/>
      <c r="J27" s="97"/>
    </row>
    <row r="28" spans="1:20" ht="15" customHeight="1" thickTop="1" thickBot="1" x14ac:dyDescent="0.4">
      <c r="A28" s="248" t="s">
        <v>24</v>
      </c>
      <c r="B28" s="248"/>
      <c r="C28" s="248"/>
      <c r="D28" s="248"/>
      <c r="E28" s="31" t="s">
        <v>242</v>
      </c>
      <c r="F28" s="31" t="s">
        <v>13</v>
      </c>
      <c r="G28" s="32" t="s">
        <v>14</v>
      </c>
      <c r="H28" s="31" t="s">
        <v>15</v>
      </c>
      <c r="I28" s="31" t="s">
        <v>16</v>
      </c>
      <c r="J28" s="99"/>
      <c r="K28" s="240" t="s">
        <v>50</v>
      </c>
      <c r="L28" s="240"/>
    </row>
    <row r="29" spans="1:20" ht="16.5" customHeight="1" x14ac:dyDescent="0.35">
      <c r="A29" s="190"/>
      <c r="B29" s="191"/>
      <c r="C29" s="191"/>
      <c r="D29" s="192"/>
      <c r="E29" s="107"/>
      <c r="F29" s="62"/>
      <c r="G29" s="149"/>
      <c r="H29" s="62"/>
      <c r="I29" s="23">
        <f t="shared" ref="I29:I34" si="3">G29*H29</f>
        <v>0</v>
      </c>
      <c r="J29" s="100"/>
      <c r="K29" s="241">
        <f>T26+T36+(K16/0.8)+(K4/0.8)</f>
        <v>0</v>
      </c>
      <c r="L29" s="240"/>
      <c r="O29" s="91" t="s">
        <v>247</v>
      </c>
      <c r="Q29" s="132">
        <f>I29*$F$6</f>
        <v>0</v>
      </c>
      <c r="S29" s="133">
        <f>IF(AND(ISEVEN(Q29*10^2),MOD(Q29*10^2,1)&lt;=0.5),ROUNDDOWN(Q29,2),ROUND(Q29,2))</f>
        <v>0</v>
      </c>
    </row>
    <row r="30" spans="1:20" ht="16.5" customHeight="1" x14ac:dyDescent="0.35">
      <c r="A30" s="190"/>
      <c r="B30" s="191"/>
      <c r="C30" s="191"/>
      <c r="D30" s="192"/>
      <c r="E30" s="69"/>
      <c r="F30" s="106"/>
      <c r="G30" s="147"/>
      <c r="H30" s="63"/>
      <c r="I30" s="23">
        <f t="shared" si="3"/>
        <v>0</v>
      </c>
      <c r="J30" s="100"/>
      <c r="M30" s="87"/>
      <c r="O30" s="8">
        <f>IF(OR(ROUND(H41,2)&lt;N13,H41="Error"),"Fix",)</f>
        <v>0</v>
      </c>
      <c r="P30" s="87"/>
      <c r="Q30" s="132">
        <f t="shared" ref="Q30:Q34" si="4">I30*$F$6</f>
        <v>0</v>
      </c>
      <c r="S30" s="133">
        <f t="shared" ref="S30:S34" si="5">IF(AND(ISEVEN(Q30*10^2),MOD(Q30*10^2,1)&lt;=0.5),ROUNDDOWN(Q30,2),ROUND(Q30,2))</f>
        <v>0</v>
      </c>
    </row>
    <row r="31" spans="1:20" ht="16.5" customHeight="1" x14ac:dyDescent="0.35">
      <c r="A31" s="190"/>
      <c r="B31" s="191"/>
      <c r="C31" s="191"/>
      <c r="D31" s="192"/>
      <c r="E31" s="69"/>
      <c r="F31" s="63"/>
      <c r="G31" s="147"/>
      <c r="H31" s="63"/>
      <c r="I31" s="23">
        <f t="shared" si="3"/>
        <v>0</v>
      </c>
      <c r="J31" s="100"/>
      <c r="K31" s="237" t="s">
        <v>55</v>
      </c>
      <c r="L31" s="237"/>
      <c r="M31" s="243" t="s">
        <v>246</v>
      </c>
      <c r="N31" s="243"/>
      <c r="Q31" s="132">
        <f t="shared" si="4"/>
        <v>0</v>
      </c>
      <c r="S31" s="133">
        <f t="shared" si="5"/>
        <v>0</v>
      </c>
    </row>
    <row r="32" spans="1:20" ht="16.5" customHeight="1" x14ac:dyDescent="0.35">
      <c r="A32" s="190"/>
      <c r="B32" s="191"/>
      <c r="C32" s="191"/>
      <c r="D32" s="192"/>
      <c r="E32" s="69"/>
      <c r="F32" s="63"/>
      <c r="G32" s="147"/>
      <c r="H32" s="63"/>
      <c r="I32" s="23">
        <f t="shared" si="3"/>
        <v>0</v>
      </c>
      <c r="J32" s="100"/>
      <c r="K32" s="8" t="s">
        <v>40</v>
      </c>
      <c r="L32" s="8" t="s">
        <v>39</v>
      </c>
      <c r="M32" s="240" t="s">
        <v>235</v>
      </c>
      <c r="N32" s="240"/>
      <c r="O32" s="240" t="s">
        <v>236</v>
      </c>
      <c r="P32" s="240"/>
      <c r="Q32" s="132">
        <f t="shared" si="4"/>
        <v>0</v>
      </c>
      <c r="S32" s="133">
        <f t="shared" si="5"/>
        <v>0</v>
      </c>
    </row>
    <row r="33" spans="1:20" ht="16.5" customHeight="1" x14ac:dyDescent="0.35">
      <c r="A33" s="190"/>
      <c r="B33" s="191"/>
      <c r="C33" s="191"/>
      <c r="D33" s="192"/>
      <c r="E33" s="69"/>
      <c r="F33" s="63"/>
      <c r="G33" s="147"/>
      <c r="H33" s="63"/>
      <c r="I33" s="23">
        <f t="shared" si="3"/>
        <v>0</v>
      </c>
      <c r="J33" s="100"/>
      <c r="K33" s="87">
        <f>SUM(F29:F34)</f>
        <v>0</v>
      </c>
      <c r="L33" s="87">
        <f>SUM(I29:I34)</f>
        <v>0</v>
      </c>
      <c r="M33" s="241">
        <f>IF((Q41-((K13*100)/80))*0.8&gt;S6,S6,(Q41-((K13*100)/80))*0.8)</f>
        <v>-500</v>
      </c>
      <c r="N33" s="240"/>
      <c r="O33" s="241">
        <f>IF(T36&gt;0,IF(M33&lt;0,,IF(ROUND(M33,2)=N13,0,M33)),)</f>
        <v>0</v>
      </c>
      <c r="P33" s="241"/>
      <c r="Q33" s="132">
        <f t="shared" si="4"/>
        <v>0</v>
      </c>
      <c r="S33" s="133">
        <f t="shared" si="5"/>
        <v>0</v>
      </c>
    </row>
    <row r="34" spans="1:20" ht="16.5" customHeight="1" thickBot="1" x14ac:dyDescent="0.4">
      <c r="A34" s="228"/>
      <c r="B34" s="229"/>
      <c r="C34" s="229"/>
      <c r="D34" s="230"/>
      <c r="E34" s="109"/>
      <c r="F34" s="65"/>
      <c r="G34" s="64"/>
      <c r="H34" s="65"/>
      <c r="I34" s="25">
        <f t="shared" si="3"/>
        <v>0</v>
      </c>
      <c r="J34" s="100"/>
      <c r="Q34" s="132">
        <f t="shared" si="4"/>
        <v>0</v>
      </c>
      <c r="S34" s="133">
        <f t="shared" si="5"/>
        <v>0</v>
      </c>
    </row>
    <row r="35" spans="1:20" ht="26.25" customHeight="1" thickTop="1" x14ac:dyDescent="0.35">
      <c r="A35" s="251" t="s">
        <v>237</v>
      </c>
      <c r="B35" s="251"/>
      <c r="C35" s="251" t="s">
        <v>241</v>
      </c>
      <c r="D35" s="251"/>
      <c r="E35" s="251" t="s">
        <v>243</v>
      </c>
      <c r="F35" s="251"/>
      <c r="G35" s="26" t="s">
        <v>29</v>
      </c>
      <c r="H35" s="27" t="s">
        <v>22</v>
      </c>
      <c r="I35" s="144" t="s">
        <v>25</v>
      </c>
      <c r="J35" s="101"/>
      <c r="K35" s="239" t="s">
        <v>21</v>
      </c>
      <c r="L35" s="239"/>
      <c r="M35" s="239" t="s">
        <v>23</v>
      </c>
      <c r="N35" s="239"/>
      <c r="O35" s="239" t="s">
        <v>20</v>
      </c>
      <c r="P35" s="239"/>
      <c r="Q35" s="239" t="s">
        <v>29</v>
      </c>
      <c r="R35" s="239"/>
      <c r="S35" s="143" t="s">
        <v>22</v>
      </c>
      <c r="T35" s="140" t="s">
        <v>54</v>
      </c>
    </row>
    <row r="36" spans="1:20" ht="18.649999999999999" customHeight="1" thickBot="1" x14ac:dyDescent="0.4">
      <c r="A36" s="261">
        <f>K36</f>
        <v>0</v>
      </c>
      <c r="B36" s="261"/>
      <c r="C36" s="252">
        <f>M36</f>
        <v>0</v>
      </c>
      <c r="D36" s="253"/>
      <c r="E36" s="261">
        <f>O36</f>
        <v>0</v>
      </c>
      <c r="F36" s="261"/>
      <c r="G36" s="145">
        <f>Q36</f>
        <v>0</v>
      </c>
      <c r="H36" s="145">
        <f>S36</f>
        <v>0</v>
      </c>
      <c r="I36" s="145">
        <f>T36</f>
        <v>0</v>
      </c>
      <c r="J36" s="94"/>
      <c r="K36" s="242">
        <f>IF(S6=0,0,T36*0.2)</f>
        <v>0</v>
      </c>
      <c r="L36" s="242"/>
      <c r="M36" s="242">
        <f>IF(AND(S6=0,T36&gt;0),IF((T36-(K13-Q26))&gt;0,T36-(K13-Q26),0),T36-(Q36+O36+K36))</f>
        <v>0</v>
      </c>
      <c r="N36" s="242"/>
      <c r="O36" s="242">
        <f>IF(S6=0,0,IF(Q26+Q36=K13,IF(K29&lt;(625+N13+(N13/0.8)*0.2),((K29-(625+O26+(O26/0.8)*0.2))*0.8)-K4,N13-O26),0))</f>
        <v>0</v>
      </c>
      <c r="P36" s="242"/>
      <c r="Q36" s="242">
        <f>IF(AND(S6=0,T36&gt;0),IF(K13-Q26&gt;T36,T36,K13-Q26),IF(T36*0.8&gt;K13-Q26, K13-Q26,T36*0.8))</f>
        <v>0</v>
      </c>
      <c r="R36" s="242"/>
      <c r="S36" s="141">
        <f>SUM(S29:S34)</f>
        <v>0</v>
      </c>
      <c r="T36" s="141">
        <f>K33+L33+S36</f>
        <v>0</v>
      </c>
    </row>
    <row r="37" spans="1:20" ht="5.9" customHeight="1" thickTop="1" thickBot="1" x14ac:dyDescent="0.4">
      <c r="A37" s="71"/>
      <c r="B37" s="71"/>
      <c r="C37" s="34"/>
      <c r="D37" s="34"/>
      <c r="E37" s="34"/>
      <c r="F37" s="71"/>
      <c r="G37" s="71"/>
      <c r="H37" s="34"/>
      <c r="I37" s="34"/>
      <c r="J37" s="102"/>
    </row>
    <row r="38" spans="1:20" ht="21.65" customHeight="1" thickTop="1" thickBot="1" x14ac:dyDescent="0.4">
      <c r="A38" s="258" t="s">
        <v>240</v>
      </c>
      <c r="B38" s="258"/>
      <c r="C38" s="258"/>
      <c r="D38" s="258"/>
      <c r="E38" s="258"/>
      <c r="F38" s="258"/>
      <c r="G38" s="258"/>
      <c r="H38" s="258"/>
      <c r="I38" s="258"/>
      <c r="J38" s="92"/>
      <c r="O38" s="8">
        <f>IF(Q26+Q36=K13,IF(K29&lt;(625+N13+(N13/0.8)*0.2),1,2),0)</f>
        <v>0</v>
      </c>
    </row>
    <row r="39" spans="1:20" ht="22.5" customHeight="1" thickTop="1" x14ac:dyDescent="0.35">
      <c r="A39" s="262" t="s">
        <v>13</v>
      </c>
      <c r="B39" s="265" t="s">
        <v>16</v>
      </c>
      <c r="C39" s="246" t="s">
        <v>22</v>
      </c>
      <c r="D39" s="249" t="s">
        <v>216</v>
      </c>
      <c r="E39" s="256" t="s">
        <v>221</v>
      </c>
      <c r="F39" s="257"/>
      <c r="G39" s="249" t="s">
        <v>220</v>
      </c>
      <c r="H39" s="259" t="s">
        <v>243</v>
      </c>
      <c r="I39" s="193" t="s">
        <v>56</v>
      </c>
      <c r="J39" s="101"/>
      <c r="M39" s="237" t="s">
        <v>30</v>
      </c>
      <c r="N39" s="237"/>
      <c r="S39" s="238" t="s">
        <v>33</v>
      </c>
      <c r="T39" s="238" t="s">
        <v>32</v>
      </c>
    </row>
    <row r="40" spans="1:20" ht="13.5" customHeight="1" thickBot="1" x14ac:dyDescent="0.4">
      <c r="A40" s="263"/>
      <c r="B40" s="266"/>
      <c r="C40" s="247"/>
      <c r="D40" s="250"/>
      <c r="E40" s="254" t="s">
        <v>219</v>
      </c>
      <c r="F40" s="255"/>
      <c r="G40" s="250"/>
      <c r="H40" s="260"/>
      <c r="I40" s="194"/>
      <c r="J40" s="103"/>
      <c r="M40" s="90" t="s">
        <v>40</v>
      </c>
      <c r="N40" s="90" t="s">
        <v>39</v>
      </c>
      <c r="P40" s="90" t="s">
        <v>31</v>
      </c>
      <c r="Q40" s="90" t="s">
        <v>30</v>
      </c>
      <c r="S40" s="238"/>
      <c r="T40" s="238"/>
    </row>
    <row r="41" spans="1:20" ht="14.25" customHeight="1" x14ac:dyDescent="0.35">
      <c r="A41" s="196">
        <f>M41</f>
        <v>0</v>
      </c>
      <c r="B41" s="198">
        <f>N41</f>
        <v>0</v>
      </c>
      <c r="C41" s="200">
        <f>P41</f>
        <v>0</v>
      </c>
      <c r="D41" s="222">
        <f>Q41</f>
        <v>0</v>
      </c>
      <c r="E41" s="224">
        <f>K26+K36</f>
        <v>0</v>
      </c>
      <c r="F41" s="226">
        <f>M26+M36</f>
        <v>0</v>
      </c>
      <c r="G41" s="222">
        <f>S41</f>
        <v>0</v>
      </c>
      <c r="H41" s="220">
        <f>IF(I41="Error","Error",O26+O36)</f>
        <v>0</v>
      </c>
      <c r="I41" s="218" t="str">
        <f>T41</f>
        <v/>
      </c>
      <c r="J41" s="94"/>
      <c r="M41" s="141">
        <f>K23+K33</f>
        <v>0</v>
      </c>
      <c r="N41" s="141">
        <f>L23+L33</f>
        <v>0</v>
      </c>
      <c r="O41" s="90"/>
      <c r="P41" s="141">
        <f>S26+S36</f>
        <v>0</v>
      </c>
      <c r="Q41" s="141">
        <f>T26+T36</f>
        <v>0</v>
      </c>
      <c r="S41" s="141">
        <f>K26+M26+K36+M36</f>
        <v>0</v>
      </c>
      <c r="T41" s="141" t="str">
        <f>IF(K13="RCF Error",K13,IF(Q26+O26+O36+Q36=0,"",IF(I7="","Date Required",Q26+O26+O36+Q36)))</f>
        <v/>
      </c>
    </row>
    <row r="42" spans="1:20" ht="9" customHeight="1" thickBot="1" x14ac:dyDescent="0.4">
      <c r="A42" s="197"/>
      <c r="B42" s="199"/>
      <c r="C42" s="201"/>
      <c r="D42" s="223"/>
      <c r="E42" s="225"/>
      <c r="F42" s="227"/>
      <c r="G42" s="223"/>
      <c r="H42" s="221"/>
      <c r="I42" s="219"/>
      <c r="J42" s="94"/>
    </row>
  </sheetData>
  <sheetProtection algorithmName="SHA-512" hashValue="wQDTsazu9m7rVIU5W50MqdvspbL0SdGlEQMYlp7zS3OY7ueiUeMlDnLurxceJax9JNkvBHvGRPT6dxiSpEtkDQ==" saltValue="L2ebwHRQoEpnFg31XzXG1Q==" spinCount="100000" sheet="1" objects="1" scenarios="1"/>
  <dataConsolidate/>
  <mergeCells count="108">
    <mergeCell ref="A1:I1"/>
    <mergeCell ref="B2:C2"/>
    <mergeCell ref="D2:E2"/>
    <mergeCell ref="F2:I2"/>
    <mergeCell ref="B3:C3"/>
    <mergeCell ref="D3:E3"/>
    <mergeCell ref="G3:H3"/>
    <mergeCell ref="B6:C6"/>
    <mergeCell ref="D6:E6"/>
    <mergeCell ref="H6:I6"/>
    <mergeCell ref="B7:D7"/>
    <mergeCell ref="F7:G7"/>
    <mergeCell ref="A8:E9"/>
    <mergeCell ref="F8:I8"/>
    <mergeCell ref="F9:I9"/>
    <mergeCell ref="B4:C4"/>
    <mergeCell ref="D4:E4"/>
    <mergeCell ref="F4:I4"/>
    <mergeCell ref="B5:C5"/>
    <mergeCell ref="D5:E5"/>
    <mergeCell ref="H5:I5"/>
    <mergeCell ref="A14:D14"/>
    <mergeCell ref="A15:D15"/>
    <mergeCell ref="K15:M15"/>
    <mergeCell ref="A16:D16"/>
    <mergeCell ref="K16:M16"/>
    <mergeCell ref="A17:D17"/>
    <mergeCell ref="A11:I11"/>
    <mergeCell ref="K11:N11"/>
    <mergeCell ref="A12:D12"/>
    <mergeCell ref="K12:L12"/>
    <mergeCell ref="A13:D13"/>
    <mergeCell ref="K13:L13"/>
    <mergeCell ref="A22:D22"/>
    <mergeCell ref="A23:D23"/>
    <mergeCell ref="A24:D24"/>
    <mergeCell ref="A25:B25"/>
    <mergeCell ref="C25:D25"/>
    <mergeCell ref="E25:F25"/>
    <mergeCell ref="A18:D18"/>
    <mergeCell ref="K18:L18"/>
    <mergeCell ref="A19:D19"/>
    <mergeCell ref="K19:L19"/>
    <mergeCell ref="A20:D20"/>
    <mergeCell ref="A21:D21"/>
    <mergeCell ref="K21:L21"/>
    <mergeCell ref="K25:L25"/>
    <mergeCell ref="M25:N25"/>
    <mergeCell ref="O25:P25"/>
    <mergeCell ref="Q25:R25"/>
    <mergeCell ref="A26:B26"/>
    <mergeCell ref="C26:D26"/>
    <mergeCell ref="E26:F26"/>
    <mergeCell ref="K26:L26"/>
    <mergeCell ref="M26:N26"/>
    <mergeCell ref="O26:P26"/>
    <mergeCell ref="A31:D31"/>
    <mergeCell ref="K31:L31"/>
    <mergeCell ref="M31:N31"/>
    <mergeCell ref="A32:D32"/>
    <mergeCell ref="M32:N32"/>
    <mergeCell ref="O32:P32"/>
    <mergeCell ref="Q26:R26"/>
    <mergeCell ref="A28:D28"/>
    <mergeCell ref="K28:L28"/>
    <mergeCell ref="A29:D29"/>
    <mergeCell ref="K29:L29"/>
    <mergeCell ref="A30:D30"/>
    <mergeCell ref="Q35:R35"/>
    <mergeCell ref="A36:B36"/>
    <mergeCell ref="C36:D36"/>
    <mergeCell ref="E36:F36"/>
    <mergeCell ref="K36:L36"/>
    <mergeCell ref="M36:N36"/>
    <mergeCell ref="O36:P36"/>
    <mergeCell ref="Q36:R36"/>
    <mergeCell ref="A33:D33"/>
    <mergeCell ref="M33:N33"/>
    <mergeCell ref="O33:P33"/>
    <mergeCell ref="A34:D34"/>
    <mergeCell ref="A35:B35"/>
    <mergeCell ref="C35:D35"/>
    <mergeCell ref="E35:F35"/>
    <mergeCell ref="K35:L35"/>
    <mergeCell ref="M35:N35"/>
    <mergeCell ref="O35:P35"/>
    <mergeCell ref="A38:I38"/>
    <mergeCell ref="A39:A40"/>
    <mergeCell ref="B39:B40"/>
    <mergeCell ref="C39:C40"/>
    <mergeCell ref="D39:D40"/>
    <mergeCell ref="E39:F39"/>
    <mergeCell ref="G39:G40"/>
    <mergeCell ref="H39:H40"/>
    <mergeCell ref="I39:I40"/>
    <mergeCell ref="G41:G42"/>
    <mergeCell ref="H41:H42"/>
    <mergeCell ref="I41:I42"/>
    <mergeCell ref="M39:N39"/>
    <mergeCell ref="S39:S40"/>
    <mergeCell ref="T39:T40"/>
    <mergeCell ref="E40:F40"/>
    <mergeCell ref="A41:A42"/>
    <mergeCell ref="B41:B42"/>
    <mergeCell ref="C41:C42"/>
    <mergeCell ref="D41:D42"/>
    <mergeCell ref="E41:E42"/>
    <mergeCell ref="F41:F42"/>
  </mergeCells>
  <conditionalFormatting sqref="E13:E24 E29:E34">
    <cfRule type="expression" dxfId="7" priority="2">
      <formula>TRUNC(E13*10) &lt;&gt; E13*10</formula>
    </cfRule>
  </conditionalFormatting>
  <conditionalFormatting sqref="F13:F24 F29:F34">
    <cfRule type="expression" dxfId="6" priority="1">
      <formula>$B$6*E13&lt;&gt;F13</formula>
    </cfRule>
  </conditionalFormatting>
  <dataValidations count="3">
    <dataValidation type="whole" allowBlank="1" showInputMessage="1" showErrorMessage="1" sqref="B2:C2" xr:uid="{DD2A2801-58B2-4363-BCA1-B53EBF052222}">
      <formula1>1000000</formula1>
      <formula2>9999999</formula2>
    </dataValidation>
    <dataValidation type="decimal" showInputMessage="1" showErrorMessage="1" sqref="I3" xr:uid="{7BF66C6F-6F71-483A-B6B5-4EE4FBD34F9C}">
      <formula1>0</formula1>
      <formula2>S6+500</formula2>
    </dataValidation>
    <dataValidation type="date" allowBlank="1" showInputMessage="1" showErrorMessage="1" sqref="I7" xr:uid="{787E1D6C-5A40-4E87-91C8-1EA123C1A143}">
      <formula1>40179</formula1>
      <formula2>TODAY()</formula2>
    </dataValidation>
  </dataValidations>
  <pageMargins left="0.5" right="0.5" top="0.6" bottom="0.4" header="0.2" footer="0.2"/>
  <pageSetup orientation="portrait" r:id="rId1"/>
  <headerFooter differentOddEven="1">
    <oddHeader>&amp;L&amp;"Times New Roman,Bold"&amp;14&amp;K000000Repair Notification Form&amp;C&amp;"Times New Roman,Bold"&amp;14Fax To: 888.336.8334&amp;R&amp;"Times New Roman,Bold"&amp;14E-Mail: ERNF@dca.ca.gov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1FE993F-8114-4FB6-BE40-76AB71907462}">
          <x14:formula1>
            <xm:f>Dropdown!$A$2:$A$164</xm:f>
          </x14:formula1>
          <xm:sqref>A13:D24 A29:D34</xm:sqref>
        </x14:dataValidation>
        <x14:dataValidation type="list" allowBlank="1" showInputMessage="1" xr:uid="{344C091F-88E4-4351-8CC1-BA7480AAD786}">
          <x14:formula1>
            <xm:f>Dropdown!$C$2:$C$10</xm:f>
          </x14:formula1>
          <xm:sqref>H5:I5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48D2-AB7B-4C67-8D43-161FEEBB5B74}">
  <dimension ref="A1:T42"/>
  <sheetViews>
    <sheetView showZeros="0" view="pageLayout" zoomScaleNormal="100" workbookViewId="0">
      <selection activeCell="B2" sqref="B2:C2"/>
    </sheetView>
  </sheetViews>
  <sheetFormatPr defaultColWidth="9" defaultRowHeight="14.5" x14ac:dyDescent="0.35"/>
  <cols>
    <col min="1" max="1" width="10" style="9" customWidth="1"/>
    <col min="2" max="2" width="9.81640625" style="9" customWidth="1"/>
    <col min="3" max="3" width="9.1796875" style="9" customWidth="1"/>
    <col min="4" max="4" width="9.81640625" style="9" customWidth="1"/>
    <col min="5" max="5" width="9.7265625" style="9" customWidth="1"/>
    <col min="6" max="6" width="9.54296875" style="9" customWidth="1"/>
    <col min="7" max="7" width="11" style="9" customWidth="1"/>
    <col min="8" max="8" width="10.1796875" style="9" customWidth="1"/>
    <col min="9" max="9" width="12.1796875" style="9" customWidth="1"/>
    <col min="10" max="10" width="1.81640625" style="77" customWidth="1"/>
    <col min="11" max="11" width="9" style="8" customWidth="1"/>
    <col min="12" max="12" width="9" style="8"/>
    <col min="13" max="13" width="9" style="8" customWidth="1"/>
    <col min="14" max="16" width="9" style="8"/>
    <col min="17" max="17" width="11.81640625" style="8" customWidth="1"/>
    <col min="18" max="18" width="5.26953125" style="8" customWidth="1"/>
    <col min="19" max="19" width="10.453125" style="8" customWidth="1"/>
    <col min="20" max="20" width="11.7265625" style="8" customWidth="1"/>
    <col min="21" max="16384" width="9" style="9"/>
  </cols>
  <sheetData>
    <row r="1" spans="1:20" ht="21.65" customHeight="1" thickBot="1" x14ac:dyDescent="0.4">
      <c r="A1" s="270" t="s">
        <v>0</v>
      </c>
      <c r="B1" s="271"/>
      <c r="C1" s="271"/>
      <c r="D1" s="271"/>
      <c r="E1" s="271"/>
      <c r="F1" s="271"/>
      <c r="G1" s="271"/>
      <c r="H1" s="271"/>
      <c r="I1" s="272"/>
      <c r="J1" s="92"/>
      <c r="N1" s="86" t="s">
        <v>245</v>
      </c>
    </row>
    <row r="2" spans="1:20" ht="17.25" customHeight="1" thickTop="1" thickBot="1" x14ac:dyDescent="0.4">
      <c r="A2" s="10" t="s">
        <v>4</v>
      </c>
      <c r="B2" s="273"/>
      <c r="C2" s="273"/>
      <c r="D2" s="274" t="s">
        <v>2</v>
      </c>
      <c r="E2" s="275"/>
      <c r="F2" s="287"/>
      <c r="G2" s="288"/>
      <c r="H2" s="288"/>
      <c r="I2" s="288"/>
      <c r="J2" s="93"/>
      <c r="K2" s="87"/>
      <c r="N2" s="8" t="s">
        <v>259</v>
      </c>
      <c r="T2" s="130">
        <v>0</v>
      </c>
    </row>
    <row r="3" spans="1:20" ht="16.5" customHeight="1" thickBot="1" x14ac:dyDescent="0.4">
      <c r="A3" s="148" t="s">
        <v>3</v>
      </c>
      <c r="B3" s="280"/>
      <c r="C3" s="281"/>
      <c r="D3" s="286" t="s">
        <v>6</v>
      </c>
      <c r="E3" s="286"/>
      <c r="F3" s="68"/>
      <c r="G3" s="276" t="s">
        <v>219</v>
      </c>
      <c r="H3" s="277"/>
      <c r="I3" s="67"/>
      <c r="J3" s="94"/>
      <c r="K3" s="8" t="s">
        <v>255</v>
      </c>
    </row>
    <row r="4" spans="1:20" ht="16.5" customHeight="1" x14ac:dyDescent="0.35">
      <c r="A4" s="10" t="s">
        <v>5</v>
      </c>
      <c r="B4" s="284">
        <f>Invoice!B5</f>
        <v>0</v>
      </c>
      <c r="C4" s="285"/>
      <c r="D4" s="286" t="s">
        <v>1</v>
      </c>
      <c r="E4" s="286"/>
      <c r="F4" s="289">
        <f>Invoice!B6</f>
        <v>0</v>
      </c>
      <c r="G4" s="290"/>
      <c r="H4" s="290"/>
      <c r="I4" s="290"/>
      <c r="J4" s="93"/>
      <c r="K4" s="87">
        <f>IF(I3="",0,IF(I3&lt;S6,((S6+500)-I3)-500,0))</f>
        <v>0</v>
      </c>
    </row>
    <row r="5" spans="1:20" ht="16.5" customHeight="1" x14ac:dyDescent="0.35">
      <c r="A5" s="150" t="s">
        <v>8</v>
      </c>
      <c r="B5" s="282"/>
      <c r="C5" s="282"/>
      <c r="D5" s="278" t="s">
        <v>9</v>
      </c>
      <c r="E5" s="279"/>
      <c r="F5" s="105"/>
      <c r="G5" s="150" t="s">
        <v>10</v>
      </c>
      <c r="H5" s="283"/>
      <c r="I5" s="283"/>
      <c r="J5" s="93"/>
      <c r="Q5" s="8" t="s">
        <v>251</v>
      </c>
    </row>
    <row r="6" spans="1:20" ht="16.5" customHeight="1" thickBot="1" x14ac:dyDescent="0.4">
      <c r="A6" s="146" t="s">
        <v>7</v>
      </c>
      <c r="B6" s="268">
        <f>Invoice!I7</f>
        <v>0</v>
      </c>
      <c r="C6" s="268"/>
      <c r="D6" s="269" t="s">
        <v>12</v>
      </c>
      <c r="E6" s="269"/>
      <c r="F6" s="59">
        <f>Invoice!I9</f>
        <v>0</v>
      </c>
      <c r="G6" s="146" t="s">
        <v>26</v>
      </c>
      <c r="H6" s="267">
        <f>Invoice!B9</f>
        <v>0</v>
      </c>
      <c r="I6" s="267"/>
      <c r="J6" s="93"/>
      <c r="L6" s="8" t="s">
        <v>244</v>
      </c>
      <c r="Q6" s="8" t="s">
        <v>258</v>
      </c>
      <c r="S6" s="8">
        <f>IF(I7&lt;=DATE(2020,8,31),0,IF(I7&lt;=DATE(2024,12,31),IF(F3*1&gt;1995,700,400),IF(F3*1&gt;1995,950,600)))</f>
        <v>0</v>
      </c>
    </row>
    <row r="7" spans="1:20" ht="16.5" customHeight="1" thickBot="1" x14ac:dyDescent="0.4">
      <c r="A7" s="14" t="s">
        <v>18</v>
      </c>
      <c r="B7" s="205"/>
      <c r="C7" s="206"/>
      <c r="D7" s="207"/>
      <c r="E7" s="139" t="s">
        <v>27</v>
      </c>
      <c r="F7" s="208"/>
      <c r="G7" s="209"/>
      <c r="H7" s="16" t="s">
        <v>11</v>
      </c>
      <c r="I7" s="72"/>
      <c r="J7" s="95"/>
    </row>
    <row r="8" spans="1:20" ht="12.25" customHeight="1" x14ac:dyDescent="0.35">
      <c r="A8" s="210" t="s">
        <v>28</v>
      </c>
      <c r="B8" s="211"/>
      <c r="C8" s="211"/>
      <c r="D8" s="211"/>
      <c r="E8" s="212"/>
      <c r="F8" s="202" t="s">
        <v>257</v>
      </c>
      <c r="G8" s="203"/>
      <c r="H8" s="203"/>
      <c r="I8" s="204"/>
      <c r="J8" s="93"/>
    </row>
    <row r="9" spans="1:20" ht="16.5" customHeight="1" thickBot="1" x14ac:dyDescent="0.4">
      <c r="A9" s="213"/>
      <c r="B9" s="213"/>
      <c r="C9" s="213"/>
      <c r="D9" s="213"/>
      <c r="E9" s="214"/>
      <c r="F9" s="215">
        <f>Invoice!E9</f>
        <v>0</v>
      </c>
      <c r="G9" s="216"/>
      <c r="H9" s="216"/>
      <c r="I9" s="217"/>
      <c r="J9" s="96"/>
    </row>
    <row r="10" spans="1:20" s="18" customFormat="1" ht="5.9" customHeight="1" thickTop="1" thickBot="1" x14ac:dyDescent="0.4">
      <c r="A10" s="17"/>
      <c r="B10" s="17"/>
      <c r="C10" s="17"/>
      <c r="D10" s="17"/>
      <c r="E10" s="17"/>
      <c r="F10" s="17"/>
      <c r="G10" s="17"/>
      <c r="H10" s="17"/>
      <c r="I10" s="17"/>
      <c r="J10" s="97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s="19" customFormat="1" ht="21.65" customHeight="1" thickTop="1" thickBot="1" x14ac:dyDescent="0.4">
      <c r="A11" s="234" t="s">
        <v>239</v>
      </c>
      <c r="B11" s="235"/>
      <c r="C11" s="235"/>
      <c r="D11" s="235"/>
      <c r="E11" s="235"/>
      <c r="F11" s="235"/>
      <c r="G11" s="235"/>
      <c r="H11" s="235"/>
      <c r="I11" s="236"/>
      <c r="J11" s="98"/>
      <c r="K11" s="195" t="s">
        <v>254</v>
      </c>
      <c r="L11" s="195"/>
      <c r="M11" s="195"/>
      <c r="N11" s="195"/>
      <c r="O11" s="89"/>
      <c r="P11" s="89"/>
      <c r="Q11" s="89"/>
      <c r="R11" s="89"/>
      <c r="S11" s="89"/>
      <c r="T11" s="89"/>
    </row>
    <row r="12" spans="1:20" s="22" customFormat="1" ht="15" customHeight="1" thickTop="1" thickBot="1" x14ac:dyDescent="0.4">
      <c r="A12" s="231" t="s">
        <v>17</v>
      </c>
      <c r="B12" s="232"/>
      <c r="C12" s="232"/>
      <c r="D12" s="233"/>
      <c r="E12" s="20" t="s">
        <v>242</v>
      </c>
      <c r="F12" s="20" t="s">
        <v>13</v>
      </c>
      <c r="G12" s="21" t="s">
        <v>14</v>
      </c>
      <c r="H12" s="20" t="s">
        <v>15</v>
      </c>
      <c r="I12" s="20" t="s">
        <v>16</v>
      </c>
      <c r="J12" s="99"/>
      <c r="K12" s="245" t="s">
        <v>53</v>
      </c>
      <c r="L12" s="245"/>
      <c r="M12" s="90"/>
      <c r="N12" s="90" t="s">
        <v>238</v>
      </c>
      <c r="O12" s="90"/>
      <c r="P12" s="90"/>
      <c r="Q12" s="90"/>
      <c r="R12" s="90"/>
      <c r="S12" s="90"/>
      <c r="T12" s="90"/>
    </row>
    <row r="13" spans="1:20" ht="16.5" customHeight="1" x14ac:dyDescent="0.35">
      <c r="A13" s="190"/>
      <c r="B13" s="191"/>
      <c r="C13" s="191"/>
      <c r="D13" s="192"/>
      <c r="E13" s="107"/>
      <c r="F13" s="62"/>
      <c r="G13" s="149"/>
      <c r="H13" s="62"/>
      <c r="I13" s="23">
        <f t="shared" ref="I13:I24" si="0">G13*H13</f>
        <v>0</v>
      </c>
      <c r="J13" s="100"/>
      <c r="K13" s="241">
        <f>IF(I3="",500,IF(K4=0,IF(I3-S6&gt;500,"RCF Error",I3-S6),0))</f>
        <v>500</v>
      </c>
      <c r="L13" s="241"/>
      <c r="N13" s="87">
        <f>S6-K4</f>
        <v>0</v>
      </c>
      <c r="Q13" s="131">
        <f t="shared" ref="Q13:Q24" si="1">I13*$F$6</f>
        <v>0</v>
      </c>
      <c r="S13" s="8">
        <f>IF(AND(ISEVEN(Q13*10^2),MOD(Q13*10^2,1)&lt;=0.5),ROUNDDOWN(Q13,2),ROUND(Q13,2))</f>
        <v>0</v>
      </c>
    </row>
    <row r="14" spans="1:20" ht="16.5" customHeight="1" x14ac:dyDescent="0.35">
      <c r="A14" s="190"/>
      <c r="B14" s="191"/>
      <c r="C14" s="191"/>
      <c r="D14" s="192"/>
      <c r="E14" s="69"/>
      <c r="F14" s="63"/>
      <c r="G14" s="147"/>
      <c r="H14" s="63"/>
      <c r="I14" s="23">
        <f t="shared" si="0"/>
        <v>0</v>
      </c>
      <c r="J14" s="100"/>
      <c r="M14" s="91"/>
      <c r="Q14" s="131">
        <f t="shared" si="1"/>
        <v>0</v>
      </c>
      <c r="S14" s="8">
        <f t="shared" ref="S14:S24" si="2">IF(AND(ISEVEN(Q14*10^2),MOD(Q14*10^2,1)&lt;=0.5),ROUNDDOWN(Q14,2),ROUND(Q14,2))</f>
        <v>0</v>
      </c>
    </row>
    <row r="15" spans="1:20" ht="16.5" customHeight="1" x14ac:dyDescent="0.35">
      <c r="A15" s="190"/>
      <c r="B15" s="191"/>
      <c r="C15" s="191"/>
      <c r="D15" s="192"/>
      <c r="E15" s="108"/>
      <c r="F15" s="63"/>
      <c r="G15" s="147"/>
      <c r="H15" s="63"/>
      <c r="I15" s="23">
        <f>G15*H15</f>
        <v>0</v>
      </c>
      <c r="J15" s="100"/>
      <c r="K15" s="264" t="s">
        <v>256</v>
      </c>
      <c r="L15" s="264"/>
      <c r="M15" s="264"/>
      <c r="Q15" s="131">
        <f t="shared" si="1"/>
        <v>0</v>
      </c>
      <c r="S15" s="8">
        <f t="shared" si="2"/>
        <v>0</v>
      </c>
    </row>
    <row r="16" spans="1:20" ht="16.5" customHeight="1" x14ac:dyDescent="0.35">
      <c r="A16" s="190"/>
      <c r="B16" s="191"/>
      <c r="C16" s="191"/>
      <c r="D16" s="192"/>
      <c r="E16" s="69"/>
      <c r="F16" s="63"/>
      <c r="G16" s="147"/>
      <c r="H16" s="63"/>
      <c r="I16" s="23">
        <f>G16*H16</f>
        <v>0</v>
      </c>
      <c r="J16" s="100"/>
      <c r="K16" s="242">
        <f>IF(K13=500,0,IF(K13&gt;=0,500-K13,0))</f>
        <v>0</v>
      </c>
      <c r="L16" s="242"/>
      <c r="M16" s="242"/>
      <c r="Q16" s="131">
        <f t="shared" si="1"/>
        <v>0</v>
      </c>
      <c r="S16" s="8">
        <f t="shared" si="2"/>
        <v>0</v>
      </c>
    </row>
    <row r="17" spans="1:20" ht="16.5" customHeight="1" x14ac:dyDescent="0.35">
      <c r="A17" s="190"/>
      <c r="B17" s="191"/>
      <c r="C17" s="191"/>
      <c r="D17" s="192"/>
      <c r="E17" s="69"/>
      <c r="F17" s="63"/>
      <c r="G17" s="147"/>
      <c r="H17" s="63"/>
      <c r="I17" s="23">
        <f t="shared" si="0"/>
        <v>0</v>
      </c>
      <c r="J17" s="100"/>
      <c r="Q17" s="131">
        <f t="shared" si="1"/>
        <v>0</v>
      </c>
      <c r="S17" s="8">
        <f t="shared" si="2"/>
        <v>0</v>
      </c>
    </row>
    <row r="18" spans="1:20" ht="16.5" customHeight="1" x14ac:dyDescent="0.35">
      <c r="A18" s="190"/>
      <c r="B18" s="191"/>
      <c r="C18" s="191"/>
      <c r="D18" s="192"/>
      <c r="E18" s="69"/>
      <c r="F18" s="63"/>
      <c r="G18" s="147"/>
      <c r="H18" s="63"/>
      <c r="I18" s="23">
        <f t="shared" si="0"/>
        <v>0</v>
      </c>
      <c r="J18" s="100"/>
      <c r="K18" s="240" t="s">
        <v>50</v>
      </c>
      <c r="L18" s="240"/>
      <c r="Q18" s="131">
        <f t="shared" si="1"/>
        <v>0</v>
      </c>
      <c r="S18" s="8">
        <f t="shared" si="2"/>
        <v>0</v>
      </c>
    </row>
    <row r="19" spans="1:20" ht="16.5" customHeight="1" x14ac:dyDescent="0.35">
      <c r="A19" s="190"/>
      <c r="B19" s="191"/>
      <c r="C19" s="191"/>
      <c r="D19" s="192"/>
      <c r="E19" s="69"/>
      <c r="F19" s="63"/>
      <c r="G19" s="147"/>
      <c r="H19" s="63"/>
      <c r="I19" s="23">
        <f t="shared" si="0"/>
        <v>0</v>
      </c>
      <c r="J19" s="100"/>
      <c r="K19" s="241">
        <f>T26+(K16/0.8)+(K4/0.8)</f>
        <v>0</v>
      </c>
      <c r="L19" s="240"/>
      <c r="Q19" s="131">
        <f t="shared" si="1"/>
        <v>0</v>
      </c>
      <c r="S19" s="8">
        <f t="shared" si="2"/>
        <v>0</v>
      </c>
    </row>
    <row r="20" spans="1:20" ht="16.5" customHeight="1" x14ac:dyDescent="0.35">
      <c r="A20" s="190"/>
      <c r="B20" s="191"/>
      <c r="C20" s="191"/>
      <c r="D20" s="192"/>
      <c r="E20" s="69"/>
      <c r="F20" s="63"/>
      <c r="G20" s="147"/>
      <c r="H20" s="63"/>
      <c r="I20" s="23">
        <f t="shared" si="0"/>
        <v>0</v>
      </c>
      <c r="J20" s="100"/>
      <c r="Q20" s="131">
        <f t="shared" si="1"/>
        <v>0</v>
      </c>
      <c r="S20" s="8">
        <f t="shared" si="2"/>
        <v>0</v>
      </c>
    </row>
    <row r="21" spans="1:20" ht="16.5" customHeight="1" x14ac:dyDescent="0.35">
      <c r="A21" s="190"/>
      <c r="B21" s="191"/>
      <c r="C21" s="191"/>
      <c r="D21" s="192"/>
      <c r="E21" s="69"/>
      <c r="F21" s="63"/>
      <c r="G21" s="147"/>
      <c r="H21" s="63"/>
      <c r="I21" s="23">
        <f t="shared" si="0"/>
        <v>0</v>
      </c>
      <c r="J21" s="100"/>
      <c r="K21" s="237" t="s">
        <v>51</v>
      </c>
      <c r="L21" s="237"/>
      <c r="Q21" s="131">
        <f t="shared" si="1"/>
        <v>0</v>
      </c>
      <c r="S21" s="8">
        <f t="shared" si="2"/>
        <v>0</v>
      </c>
    </row>
    <row r="22" spans="1:20" ht="16.5" customHeight="1" x14ac:dyDescent="0.35">
      <c r="A22" s="190"/>
      <c r="B22" s="191"/>
      <c r="C22" s="191"/>
      <c r="D22" s="192"/>
      <c r="E22" s="69"/>
      <c r="F22" s="63"/>
      <c r="G22" s="147"/>
      <c r="H22" s="63"/>
      <c r="I22" s="24">
        <f t="shared" si="0"/>
        <v>0</v>
      </c>
      <c r="J22" s="100"/>
      <c r="K22" s="8" t="s">
        <v>40</v>
      </c>
      <c r="L22" s="8" t="s">
        <v>39</v>
      </c>
      <c r="Q22" s="131">
        <f t="shared" si="1"/>
        <v>0</v>
      </c>
      <c r="S22" s="8">
        <f t="shared" si="2"/>
        <v>0</v>
      </c>
    </row>
    <row r="23" spans="1:20" ht="16.5" customHeight="1" x14ac:dyDescent="0.35">
      <c r="A23" s="190"/>
      <c r="B23" s="191"/>
      <c r="C23" s="191"/>
      <c r="D23" s="192"/>
      <c r="E23" s="69"/>
      <c r="F23" s="63"/>
      <c r="G23" s="147"/>
      <c r="H23" s="63"/>
      <c r="I23" s="23">
        <f t="shared" si="0"/>
        <v>0</v>
      </c>
      <c r="J23" s="100"/>
      <c r="K23" s="87">
        <f>SUM(F13:F24)</f>
        <v>0</v>
      </c>
      <c r="L23" s="87">
        <f>SUM(I13:I24)</f>
        <v>0</v>
      </c>
      <c r="Q23" s="131">
        <f t="shared" si="1"/>
        <v>0</v>
      </c>
      <c r="S23" s="8">
        <f t="shared" si="2"/>
        <v>0</v>
      </c>
    </row>
    <row r="24" spans="1:20" ht="16.5" customHeight="1" thickBot="1" x14ac:dyDescent="0.4">
      <c r="A24" s="228"/>
      <c r="B24" s="229"/>
      <c r="C24" s="229"/>
      <c r="D24" s="230"/>
      <c r="E24" s="109"/>
      <c r="F24" s="65"/>
      <c r="G24" s="64"/>
      <c r="H24" s="65"/>
      <c r="I24" s="25">
        <f t="shared" si="0"/>
        <v>0</v>
      </c>
      <c r="J24" s="100"/>
      <c r="Q24" s="131">
        <f t="shared" si="1"/>
        <v>0</v>
      </c>
      <c r="S24" s="8">
        <f t="shared" si="2"/>
        <v>0</v>
      </c>
    </row>
    <row r="25" spans="1:20" ht="24" customHeight="1" thickTop="1" x14ac:dyDescent="0.35">
      <c r="A25" s="251" t="s">
        <v>217</v>
      </c>
      <c r="B25" s="251"/>
      <c r="C25" s="251" t="s">
        <v>218</v>
      </c>
      <c r="D25" s="251"/>
      <c r="E25" s="251" t="s">
        <v>243</v>
      </c>
      <c r="F25" s="251"/>
      <c r="G25" s="26" t="s">
        <v>29</v>
      </c>
      <c r="H25" s="27" t="s">
        <v>22</v>
      </c>
      <c r="I25" s="144" t="s">
        <v>19</v>
      </c>
      <c r="J25" s="101"/>
      <c r="K25" s="239" t="s">
        <v>21</v>
      </c>
      <c r="L25" s="239"/>
      <c r="M25" s="239" t="s">
        <v>23</v>
      </c>
      <c r="N25" s="239"/>
      <c r="O25" s="239" t="s">
        <v>20</v>
      </c>
      <c r="P25" s="239"/>
      <c r="Q25" s="239" t="s">
        <v>29</v>
      </c>
      <c r="R25" s="239"/>
      <c r="S25" s="143" t="s">
        <v>22</v>
      </c>
      <c r="T25" s="140" t="s">
        <v>52</v>
      </c>
    </row>
    <row r="26" spans="1:20" ht="18.649999999999999" customHeight="1" thickBot="1" x14ac:dyDescent="0.4">
      <c r="A26" s="261">
        <f>K26</f>
        <v>0</v>
      </c>
      <c r="B26" s="261"/>
      <c r="C26" s="261">
        <f>M26</f>
        <v>0</v>
      </c>
      <c r="D26" s="261"/>
      <c r="E26" s="261">
        <f>O26</f>
        <v>0</v>
      </c>
      <c r="F26" s="261"/>
      <c r="G26" s="145">
        <f>Q26</f>
        <v>0</v>
      </c>
      <c r="H26" s="145">
        <f>S26</f>
        <v>0</v>
      </c>
      <c r="I26" s="145">
        <f>T26</f>
        <v>0</v>
      </c>
      <c r="J26" s="94"/>
      <c r="K26" s="244">
        <f>IF(S6=0,0,T26*0.2)</f>
        <v>0</v>
      </c>
      <c r="L26" s="245"/>
      <c r="M26" s="244">
        <f>IF(S6=0,IF((T26-K13)&gt;0,T26-K13,0),T26-(Q26+O26+K26))</f>
        <v>0</v>
      </c>
      <c r="N26" s="245"/>
      <c r="O26" s="244">
        <f>IF(S6=0,0,IF(Q26=K13,IF(K19&lt;(625+N13+(N13/0.8)*0.2),((K19-((K16+K4)+((K16+K4)/0.8)*0.2))*0.8)-Q26,N13),0))</f>
        <v>0</v>
      </c>
      <c r="P26" s="244"/>
      <c r="Q26" s="244">
        <f>IF(S6=0,IF(T26&gt;K13,K13,T26),IF(T26*0.8&gt;K13,K13,T26*0.8))</f>
        <v>0</v>
      </c>
      <c r="R26" s="244"/>
      <c r="S26" s="142">
        <f>SUM(S13:S24)</f>
        <v>0</v>
      </c>
      <c r="T26" s="142">
        <f>K23+L23+S26</f>
        <v>0</v>
      </c>
    </row>
    <row r="27" spans="1:20" ht="5.9" customHeight="1" thickTop="1" thickBot="1" x14ac:dyDescent="0.4">
      <c r="A27" s="17"/>
      <c r="B27" s="17"/>
      <c r="C27" s="17"/>
      <c r="D27" s="17"/>
      <c r="E27" s="17"/>
      <c r="F27" s="17"/>
      <c r="G27" s="17"/>
      <c r="H27" s="17"/>
      <c r="I27" s="30"/>
      <c r="J27" s="97"/>
    </row>
    <row r="28" spans="1:20" ht="15" customHeight="1" thickTop="1" thickBot="1" x14ac:dyDescent="0.4">
      <c r="A28" s="248" t="s">
        <v>24</v>
      </c>
      <c r="B28" s="248"/>
      <c r="C28" s="248"/>
      <c r="D28" s="248"/>
      <c r="E28" s="31" t="s">
        <v>242</v>
      </c>
      <c r="F28" s="31" t="s">
        <v>13</v>
      </c>
      <c r="G28" s="32" t="s">
        <v>14</v>
      </c>
      <c r="H28" s="31" t="s">
        <v>15</v>
      </c>
      <c r="I28" s="31" t="s">
        <v>16</v>
      </c>
      <c r="J28" s="99"/>
      <c r="K28" s="240" t="s">
        <v>50</v>
      </c>
      <c r="L28" s="240"/>
    </row>
    <row r="29" spans="1:20" ht="16.5" customHeight="1" x14ac:dyDescent="0.35">
      <c r="A29" s="190"/>
      <c r="B29" s="191"/>
      <c r="C29" s="191"/>
      <c r="D29" s="192"/>
      <c r="E29" s="107"/>
      <c r="F29" s="62"/>
      <c r="G29" s="149"/>
      <c r="H29" s="62"/>
      <c r="I29" s="23">
        <f t="shared" ref="I29:I34" si="3">G29*H29</f>
        <v>0</v>
      </c>
      <c r="J29" s="100"/>
      <c r="K29" s="241">
        <f>T26+T36+(K16/0.8)+(K4/0.8)</f>
        <v>0</v>
      </c>
      <c r="L29" s="240"/>
      <c r="O29" s="91" t="s">
        <v>247</v>
      </c>
      <c r="Q29" s="132">
        <f>I29*$F$6</f>
        <v>0</v>
      </c>
      <c r="S29" s="133">
        <f>IF(AND(ISEVEN(Q29*10^2),MOD(Q29*10^2,1)&lt;=0.5),ROUNDDOWN(Q29,2),ROUND(Q29,2))</f>
        <v>0</v>
      </c>
    </row>
    <row r="30" spans="1:20" ht="16.5" customHeight="1" x14ac:dyDescent="0.35">
      <c r="A30" s="190"/>
      <c r="B30" s="191"/>
      <c r="C30" s="191"/>
      <c r="D30" s="192"/>
      <c r="E30" s="69"/>
      <c r="F30" s="106"/>
      <c r="G30" s="147"/>
      <c r="H30" s="63"/>
      <c r="I30" s="23">
        <f t="shared" si="3"/>
        <v>0</v>
      </c>
      <c r="J30" s="100"/>
      <c r="M30" s="87"/>
      <c r="O30" s="8">
        <f>IF(OR(ROUND(H41,2)&lt;N13,H41="Error"),"Fix",)</f>
        <v>0</v>
      </c>
      <c r="P30" s="87"/>
      <c r="Q30" s="132">
        <f t="shared" ref="Q30:Q34" si="4">I30*$F$6</f>
        <v>0</v>
      </c>
      <c r="S30" s="133">
        <f t="shared" ref="S30:S34" si="5">IF(AND(ISEVEN(Q30*10^2),MOD(Q30*10^2,1)&lt;=0.5),ROUNDDOWN(Q30,2),ROUND(Q30,2))</f>
        <v>0</v>
      </c>
    </row>
    <row r="31" spans="1:20" ht="16.5" customHeight="1" x14ac:dyDescent="0.35">
      <c r="A31" s="190"/>
      <c r="B31" s="191"/>
      <c r="C31" s="191"/>
      <c r="D31" s="192"/>
      <c r="E31" s="69"/>
      <c r="F31" s="63"/>
      <c r="G31" s="147"/>
      <c r="H31" s="63"/>
      <c r="I31" s="23">
        <f t="shared" si="3"/>
        <v>0</v>
      </c>
      <c r="J31" s="100"/>
      <c r="K31" s="237" t="s">
        <v>55</v>
      </c>
      <c r="L31" s="237"/>
      <c r="M31" s="243" t="s">
        <v>246</v>
      </c>
      <c r="N31" s="243"/>
      <c r="Q31" s="132">
        <f t="shared" si="4"/>
        <v>0</v>
      </c>
      <c r="S31" s="133">
        <f t="shared" si="5"/>
        <v>0</v>
      </c>
    </row>
    <row r="32" spans="1:20" ht="16.5" customHeight="1" x14ac:dyDescent="0.35">
      <c r="A32" s="190"/>
      <c r="B32" s="191"/>
      <c r="C32" s="191"/>
      <c r="D32" s="192"/>
      <c r="E32" s="69"/>
      <c r="F32" s="63"/>
      <c r="G32" s="147"/>
      <c r="H32" s="63"/>
      <c r="I32" s="23">
        <f t="shared" si="3"/>
        <v>0</v>
      </c>
      <c r="J32" s="100"/>
      <c r="K32" s="8" t="s">
        <v>40</v>
      </c>
      <c r="L32" s="8" t="s">
        <v>39</v>
      </c>
      <c r="M32" s="240" t="s">
        <v>235</v>
      </c>
      <c r="N32" s="240"/>
      <c r="O32" s="240" t="s">
        <v>236</v>
      </c>
      <c r="P32" s="240"/>
      <c r="Q32" s="132">
        <f t="shared" si="4"/>
        <v>0</v>
      </c>
      <c r="S32" s="133">
        <f t="shared" si="5"/>
        <v>0</v>
      </c>
    </row>
    <row r="33" spans="1:20" ht="16.5" customHeight="1" x14ac:dyDescent="0.35">
      <c r="A33" s="190"/>
      <c r="B33" s="191"/>
      <c r="C33" s="191"/>
      <c r="D33" s="192"/>
      <c r="E33" s="69"/>
      <c r="F33" s="63"/>
      <c r="G33" s="147"/>
      <c r="H33" s="63"/>
      <c r="I33" s="23">
        <f t="shared" si="3"/>
        <v>0</v>
      </c>
      <c r="J33" s="100"/>
      <c r="K33" s="87">
        <f>SUM(F29:F34)</f>
        <v>0</v>
      </c>
      <c r="L33" s="87">
        <f>SUM(I29:I34)</f>
        <v>0</v>
      </c>
      <c r="M33" s="241">
        <f>IF((Q41-((K13*100)/80))*0.8&gt;S6,S6,(Q41-((K13*100)/80))*0.8)</f>
        <v>-500</v>
      </c>
      <c r="N33" s="240"/>
      <c r="O33" s="241">
        <f>IF(T36&gt;0,IF(M33&lt;0,,IF(ROUND(M33,2)=N13,0,M33)),)</f>
        <v>0</v>
      </c>
      <c r="P33" s="241"/>
      <c r="Q33" s="132">
        <f t="shared" si="4"/>
        <v>0</v>
      </c>
      <c r="S33" s="133">
        <f t="shared" si="5"/>
        <v>0</v>
      </c>
    </row>
    <row r="34" spans="1:20" ht="16.5" customHeight="1" thickBot="1" x14ac:dyDescent="0.4">
      <c r="A34" s="228"/>
      <c r="B34" s="229"/>
      <c r="C34" s="229"/>
      <c r="D34" s="230"/>
      <c r="E34" s="109"/>
      <c r="F34" s="65"/>
      <c r="G34" s="64"/>
      <c r="H34" s="65"/>
      <c r="I34" s="25">
        <f t="shared" si="3"/>
        <v>0</v>
      </c>
      <c r="J34" s="100"/>
      <c r="Q34" s="132">
        <f t="shared" si="4"/>
        <v>0</v>
      </c>
      <c r="S34" s="133">
        <f t="shared" si="5"/>
        <v>0</v>
      </c>
    </row>
    <row r="35" spans="1:20" ht="26.25" customHeight="1" thickTop="1" x14ac:dyDescent="0.35">
      <c r="A35" s="251" t="s">
        <v>237</v>
      </c>
      <c r="B35" s="251"/>
      <c r="C35" s="251" t="s">
        <v>241</v>
      </c>
      <c r="D35" s="251"/>
      <c r="E35" s="251" t="s">
        <v>243</v>
      </c>
      <c r="F35" s="251"/>
      <c r="G35" s="26" t="s">
        <v>29</v>
      </c>
      <c r="H35" s="27" t="s">
        <v>22</v>
      </c>
      <c r="I35" s="144" t="s">
        <v>25</v>
      </c>
      <c r="J35" s="101"/>
      <c r="K35" s="239" t="s">
        <v>21</v>
      </c>
      <c r="L35" s="239"/>
      <c r="M35" s="239" t="s">
        <v>23</v>
      </c>
      <c r="N35" s="239"/>
      <c r="O35" s="239" t="s">
        <v>20</v>
      </c>
      <c r="P35" s="239"/>
      <c r="Q35" s="239" t="s">
        <v>29</v>
      </c>
      <c r="R35" s="239"/>
      <c r="S35" s="143" t="s">
        <v>22</v>
      </c>
      <c r="T35" s="140" t="s">
        <v>54</v>
      </c>
    </row>
    <row r="36" spans="1:20" ht="18.649999999999999" customHeight="1" thickBot="1" x14ac:dyDescent="0.4">
      <c r="A36" s="261">
        <f>K36</f>
        <v>0</v>
      </c>
      <c r="B36" s="261"/>
      <c r="C36" s="252">
        <f>M36</f>
        <v>0</v>
      </c>
      <c r="D36" s="253"/>
      <c r="E36" s="261">
        <f>O36</f>
        <v>0</v>
      </c>
      <c r="F36" s="261"/>
      <c r="G36" s="145">
        <f>Q36</f>
        <v>0</v>
      </c>
      <c r="H36" s="145">
        <f>S36</f>
        <v>0</v>
      </c>
      <c r="I36" s="145">
        <f>T36</f>
        <v>0</v>
      </c>
      <c r="J36" s="94"/>
      <c r="K36" s="242">
        <f>IF(S6=0,0,T36*0.2)</f>
        <v>0</v>
      </c>
      <c r="L36" s="242"/>
      <c r="M36" s="242">
        <f>IF(AND(S6=0,T36&gt;0),IF((T36-(K13-Q26))&gt;0,T36-(K13-Q26),0),T36-(Q36+O36+K36))</f>
        <v>0</v>
      </c>
      <c r="N36" s="242"/>
      <c r="O36" s="242">
        <f>IF(S6=0,0,IF(Q26+Q36=K13,IF(K29&lt;(625+N13+(N13/0.8)*0.2),((K29-(625+O26+(O26/0.8)*0.2))*0.8)-K4,N13-O26),0))</f>
        <v>0</v>
      </c>
      <c r="P36" s="242"/>
      <c r="Q36" s="242">
        <f>IF(AND(S6=0,T36&gt;0),IF(K13-Q26&gt;T36,T36,K13-Q26),IF(T36*0.8&gt;K13-Q26, K13-Q26,T36*0.8))</f>
        <v>0</v>
      </c>
      <c r="R36" s="242"/>
      <c r="S36" s="141">
        <f>SUM(S29:S34)</f>
        <v>0</v>
      </c>
      <c r="T36" s="141">
        <f>K33+L33+S36</f>
        <v>0</v>
      </c>
    </row>
    <row r="37" spans="1:20" ht="5.9" customHeight="1" thickTop="1" thickBot="1" x14ac:dyDescent="0.4">
      <c r="A37" s="71"/>
      <c r="B37" s="71"/>
      <c r="C37" s="34"/>
      <c r="D37" s="34"/>
      <c r="E37" s="34"/>
      <c r="F37" s="71"/>
      <c r="G37" s="71"/>
      <c r="H37" s="34"/>
      <c r="I37" s="34"/>
      <c r="J37" s="102"/>
    </row>
    <row r="38" spans="1:20" ht="21.65" customHeight="1" thickTop="1" thickBot="1" x14ac:dyDescent="0.4">
      <c r="A38" s="258" t="s">
        <v>240</v>
      </c>
      <c r="B38" s="258"/>
      <c r="C38" s="258"/>
      <c r="D38" s="258"/>
      <c r="E38" s="258"/>
      <c r="F38" s="258"/>
      <c r="G38" s="258"/>
      <c r="H38" s="258"/>
      <c r="I38" s="258"/>
      <c r="J38" s="92"/>
      <c r="O38" s="8">
        <f>IF(Q26+Q36=K13,IF(K29&lt;(625+N13+(N13/0.8)*0.2),1,2),0)</f>
        <v>0</v>
      </c>
    </row>
    <row r="39" spans="1:20" ht="22.5" customHeight="1" thickTop="1" x14ac:dyDescent="0.35">
      <c r="A39" s="262" t="s">
        <v>13</v>
      </c>
      <c r="B39" s="265" t="s">
        <v>16</v>
      </c>
      <c r="C39" s="246" t="s">
        <v>22</v>
      </c>
      <c r="D39" s="249" t="s">
        <v>216</v>
      </c>
      <c r="E39" s="256" t="s">
        <v>221</v>
      </c>
      <c r="F39" s="257"/>
      <c r="G39" s="249" t="s">
        <v>220</v>
      </c>
      <c r="H39" s="259" t="s">
        <v>243</v>
      </c>
      <c r="I39" s="193" t="s">
        <v>56</v>
      </c>
      <c r="J39" s="101"/>
      <c r="M39" s="237" t="s">
        <v>30</v>
      </c>
      <c r="N39" s="237"/>
      <c r="S39" s="238" t="s">
        <v>33</v>
      </c>
      <c r="T39" s="238" t="s">
        <v>32</v>
      </c>
    </row>
    <row r="40" spans="1:20" ht="13.5" customHeight="1" thickBot="1" x14ac:dyDescent="0.4">
      <c r="A40" s="263"/>
      <c r="B40" s="266"/>
      <c r="C40" s="247"/>
      <c r="D40" s="250"/>
      <c r="E40" s="254" t="s">
        <v>219</v>
      </c>
      <c r="F40" s="255"/>
      <c r="G40" s="250"/>
      <c r="H40" s="260"/>
      <c r="I40" s="194"/>
      <c r="J40" s="103"/>
      <c r="M40" s="90" t="s">
        <v>40</v>
      </c>
      <c r="N40" s="90" t="s">
        <v>39</v>
      </c>
      <c r="P40" s="90" t="s">
        <v>31</v>
      </c>
      <c r="Q40" s="90" t="s">
        <v>30</v>
      </c>
      <c r="S40" s="238"/>
      <c r="T40" s="238"/>
    </row>
    <row r="41" spans="1:20" ht="14.25" customHeight="1" x14ac:dyDescent="0.35">
      <c r="A41" s="196">
        <f>M41</f>
        <v>0</v>
      </c>
      <c r="B41" s="198">
        <f>N41</f>
        <v>0</v>
      </c>
      <c r="C41" s="200">
        <f>P41</f>
        <v>0</v>
      </c>
      <c r="D41" s="222">
        <f>Q41</f>
        <v>0</v>
      </c>
      <c r="E41" s="224">
        <f>K26+K36</f>
        <v>0</v>
      </c>
      <c r="F41" s="226">
        <f>M26+M36</f>
        <v>0</v>
      </c>
      <c r="G41" s="222">
        <f>S41</f>
        <v>0</v>
      </c>
      <c r="H41" s="220">
        <f>IF(I41="Error","Error",O26+O36)</f>
        <v>0</v>
      </c>
      <c r="I41" s="218" t="str">
        <f>T41</f>
        <v/>
      </c>
      <c r="J41" s="94"/>
      <c r="M41" s="141">
        <f>K23+K33</f>
        <v>0</v>
      </c>
      <c r="N41" s="141">
        <f>L23+L33</f>
        <v>0</v>
      </c>
      <c r="O41" s="90"/>
      <c r="P41" s="141">
        <f>S26+S36</f>
        <v>0</v>
      </c>
      <c r="Q41" s="141">
        <f>T26+T36</f>
        <v>0</v>
      </c>
      <c r="S41" s="141">
        <f>K26+M26+K36+M36</f>
        <v>0</v>
      </c>
      <c r="T41" s="141" t="str">
        <f>IF(K13="RCF Error",K13,IF(Q26+O26+O36+Q36=0,"",IF(I7="","Date Required",Q26+O26+O36+Q36)))</f>
        <v/>
      </c>
    </row>
    <row r="42" spans="1:20" ht="9" customHeight="1" thickBot="1" x14ac:dyDescent="0.4">
      <c r="A42" s="197"/>
      <c r="B42" s="199"/>
      <c r="C42" s="201"/>
      <c r="D42" s="223"/>
      <c r="E42" s="225"/>
      <c r="F42" s="227"/>
      <c r="G42" s="223"/>
      <c r="H42" s="221"/>
      <c r="I42" s="219"/>
      <c r="J42" s="94"/>
    </row>
  </sheetData>
  <sheetProtection algorithmName="SHA-512" hashValue="zHRAcumwLXXI3qL6GwY809Scx22aSapW+7awvyM0vfZ5RzAy8PPNkFaUSu4w3+mYE6laCQPllceNay9a4Ta9hA==" saltValue="uiOhs8yfBSPSjTFMVajYAg==" spinCount="100000" sheet="1" objects="1" scenarios="1"/>
  <dataConsolidate/>
  <mergeCells count="108">
    <mergeCell ref="A1:I1"/>
    <mergeCell ref="B2:C2"/>
    <mergeCell ref="D2:E2"/>
    <mergeCell ref="F2:I2"/>
    <mergeCell ref="B3:C3"/>
    <mergeCell ref="D3:E3"/>
    <mergeCell ref="G3:H3"/>
    <mergeCell ref="B6:C6"/>
    <mergeCell ref="D6:E6"/>
    <mergeCell ref="H6:I6"/>
    <mergeCell ref="B7:D7"/>
    <mergeCell ref="F7:G7"/>
    <mergeCell ref="A8:E9"/>
    <mergeCell ref="F8:I8"/>
    <mergeCell ref="F9:I9"/>
    <mergeCell ref="B4:C4"/>
    <mergeCell ref="D4:E4"/>
    <mergeCell ref="F4:I4"/>
    <mergeCell ref="B5:C5"/>
    <mergeCell ref="D5:E5"/>
    <mergeCell ref="H5:I5"/>
    <mergeCell ref="A14:D14"/>
    <mergeCell ref="A15:D15"/>
    <mergeCell ref="K15:M15"/>
    <mergeCell ref="A16:D16"/>
    <mergeCell ref="K16:M16"/>
    <mergeCell ref="A17:D17"/>
    <mergeCell ref="A11:I11"/>
    <mergeCell ref="K11:N11"/>
    <mergeCell ref="A12:D12"/>
    <mergeCell ref="K12:L12"/>
    <mergeCell ref="A13:D13"/>
    <mergeCell ref="K13:L13"/>
    <mergeCell ref="A22:D22"/>
    <mergeCell ref="A23:D23"/>
    <mergeCell ref="A24:D24"/>
    <mergeCell ref="A25:B25"/>
    <mergeCell ref="C25:D25"/>
    <mergeCell ref="E25:F25"/>
    <mergeCell ref="A18:D18"/>
    <mergeCell ref="K18:L18"/>
    <mergeCell ref="A19:D19"/>
    <mergeCell ref="K19:L19"/>
    <mergeCell ref="A20:D20"/>
    <mergeCell ref="A21:D21"/>
    <mergeCell ref="K21:L21"/>
    <mergeCell ref="K25:L25"/>
    <mergeCell ref="M25:N25"/>
    <mergeCell ref="O25:P25"/>
    <mergeCell ref="Q25:R25"/>
    <mergeCell ref="A26:B26"/>
    <mergeCell ref="C26:D26"/>
    <mergeCell ref="E26:F26"/>
    <mergeCell ref="K26:L26"/>
    <mergeCell ref="M26:N26"/>
    <mergeCell ref="O26:P26"/>
    <mergeCell ref="A31:D31"/>
    <mergeCell ref="K31:L31"/>
    <mergeCell ref="M31:N31"/>
    <mergeCell ref="A32:D32"/>
    <mergeCell ref="M32:N32"/>
    <mergeCell ref="O32:P32"/>
    <mergeCell ref="Q26:R26"/>
    <mergeCell ref="A28:D28"/>
    <mergeCell ref="K28:L28"/>
    <mergeCell ref="A29:D29"/>
    <mergeCell ref="K29:L29"/>
    <mergeCell ref="A30:D30"/>
    <mergeCell ref="Q35:R35"/>
    <mergeCell ref="A36:B36"/>
    <mergeCell ref="C36:D36"/>
    <mergeCell ref="E36:F36"/>
    <mergeCell ref="K36:L36"/>
    <mergeCell ref="M36:N36"/>
    <mergeCell ref="O36:P36"/>
    <mergeCell ref="Q36:R36"/>
    <mergeCell ref="A33:D33"/>
    <mergeCell ref="M33:N33"/>
    <mergeCell ref="O33:P33"/>
    <mergeCell ref="A34:D34"/>
    <mergeCell ref="A35:B35"/>
    <mergeCell ref="C35:D35"/>
    <mergeCell ref="E35:F35"/>
    <mergeCell ref="K35:L35"/>
    <mergeCell ref="M35:N35"/>
    <mergeCell ref="O35:P35"/>
    <mergeCell ref="A38:I38"/>
    <mergeCell ref="A39:A40"/>
    <mergeCell ref="B39:B40"/>
    <mergeCell ref="C39:C40"/>
    <mergeCell ref="D39:D40"/>
    <mergeCell ref="E39:F39"/>
    <mergeCell ref="G39:G40"/>
    <mergeCell ref="H39:H40"/>
    <mergeCell ref="I39:I40"/>
    <mergeCell ref="G41:G42"/>
    <mergeCell ref="H41:H42"/>
    <mergeCell ref="I41:I42"/>
    <mergeCell ref="M39:N39"/>
    <mergeCell ref="S39:S40"/>
    <mergeCell ref="T39:T40"/>
    <mergeCell ref="E40:F40"/>
    <mergeCell ref="A41:A42"/>
    <mergeCell ref="B41:B42"/>
    <mergeCell ref="C41:C42"/>
    <mergeCell ref="D41:D42"/>
    <mergeCell ref="E41:E42"/>
    <mergeCell ref="F41:F42"/>
  </mergeCells>
  <conditionalFormatting sqref="E13:E24 E29:E34">
    <cfRule type="expression" dxfId="5" priority="2">
      <formula>TRUNC(E13*10) &lt;&gt; E13*10</formula>
    </cfRule>
  </conditionalFormatting>
  <conditionalFormatting sqref="F13:F24 F29:F34">
    <cfRule type="expression" dxfId="4" priority="1">
      <formula>$B$6*E13&lt;&gt;F13</formula>
    </cfRule>
  </conditionalFormatting>
  <dataValidations count="3">
    <dataValidation type="whole" allowBlank="1" showInputMessage="1" showErrorMessage="1" sqref="B2:C2" xr:uid="{C716319E-5628-48AB-9B13-CFF55BE3CBB1}">
      <formula1>1000000</formula1>
      <formula2>9999999</formula2>
    </dataValidation>
    <dataValidation type="decimal" showInputMessage="1" showErrorMessage="1" sqref="I3" xr:uid="{4BD775D2-B3C8-423E-98DA-FC2DF46C0FCB}">
      <formula1>0</formula1>
      <formula2>S6+500</formula2>
    </dataValidation>
    <dataValidation type="date" allowBlank="1" showInputMessage="1" showErrorMessage="1" sqref="I7" xr:uid="{46A13AE1-8C83-4275-AB76-A4EF1F9F9B9D}">
      <formula1>40179</formula1>
      <formula2>TODAY()</formula2>
    </dataValidation>
  </dataValidations>
  <pageMargins left="0.5" right="0.5" top="0.6" bottom="0.4" header="0.2" footer="0.2"/>
  <pageSetup orientation="portrait" r:id="rId1"/>
  <headerFooter differentOddEven="1">
    <oddHeader>&amp;L&amp;"Times New Roman,Bold"&amp;14&amp;K000000Repair Notification Form&amp;C&amp;"Times New Roman,Bold"&amp;14Fax To: 888.336.8334&amp;R&amp;"Times New Roman,Bold"&amp;14E-Mail: ERNF@dca.ca.gov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818F6BC3-8E46-423B-A035-166D54F7C627}">
          <x14:formula1>
            <xm:f>Dropdown!$A$2:$A$164</xm:f>
          </x14:formula1>
          <xm:sqref>A13:D24 A29:D34</xm:sqref>
        </x14:dataValidation>
        <x14:dataValidation type="list" allowBlank="1" showInputMessage="1" xr:uid="{423BEF5C-A74F-4363-9BC8-1DBBB9D64D85}">
          <x14:formula1>
            <xm:f>Dropdown!$C$2:$C$10</xm:f>
          </x14:formula1>
          <xm:sqref>H5:I5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DB5F-2868-4E67-A53D-C9E2E51D1DB5}">
  <dimension ref="A1:T42"/>
  <sheetViews>
    <sheetView showZeros="0" view="pageLayout" zoomScaleNormal="100" workbookViewId="0">
      <selection activeCell="B2" sqref="B2:C2"/>
    </sheetView>
  </sheetViews>
  <sheetFormatPr defaultColWidth="9" defaultRowHeight="14.5" x14ac:dyDescent="0.35"/>
  <cols>
    <col min="1" max="1" width="10" style="9" customWidth="1"/>
    <col min="2" max="2" width="9.81640625" style="9" customWidth="1"/>
    <col min="3" max="3" width="9.1796875" style="9" customWidth="1"/>
    <col min="4" max="4" width="9.81640625" style="9" customWidth="1"/>
    <col min="5" max="5" width="9.7265625" style="9" customWidth="1"/>
    <col min="6" max="6" width="9.54296875" style="9" customWidth="1"/>
    <col min="7" max="7" width="11" style="9" customWidth="1"/>
    <col min="8" max="8" width="10.1796875" style="9" customWidth="1"/>
    <col min="9" max="9" width="12.1796875" style="9" customWidth="1"/>
    <col min="10" max="10" width="1.81640625" style="77" customWidth="1"/>
    <col min="11" max="11" width="9" style="8" customWidth="1"/>
    <col min="12" max="12" width="9" style="8"/>
    <col min="13" max="13" width="9" style="8" customWidth="1"/>
    <col min="14" max="16" width="9" style="8"/>
    <col min="17" max="17" width="11.81640625" style="8" customWidth="1"/>
    <col min="18" max="18" width="5.26953125" style="8" customWidth="1"/>
    <col min="19" max="19" width="10.453125" style="8" customWidth="1"/>
    <col min="20" max="20" width="11.7265625" style="8" customWidth="1"/>
    <col min="21" max="16384" width="9" style="9"/>
  </cols>
  <sheetData>
    <row r="1" spans="1:20" ht="21.65" customHeight="1" thickBot="1" x14ac:dyDescent="0.4">
      <c r="A1" s="270" t="s">
        <v>0</v>
      </c>
      <c r="B1" s="271"/>
      <c r="C1" s="271"/>
      <c r="D1" s="271"/>
      <c r="E1" s="271"/>
      <c r="F1" s="271"/>
      <c r="G1" s="271"/>
      <c r="H1" s="271"/>
      <c r="I1" s="272"/>
      <c r="J1" s="92"/>
      <c r="N1" s="86" t="s">
        <v>245</v>
      </c>
    </row>
    <row r="2" spans="1:20" ht="17.25" customHeight="1" thickTop="1" thickBot="1" x14ac:dyDescent="0.4">
      <c r="A2" s="10" t="s">
        <v>4</v>
      </c>
      <c r="B2" s="273"/>
      <c r="C2" s="273"/>
      <c r="D2" s="274" t="s">
        <v>2</v>
      </c>
      <c r="E2" s="275"/>
      <c r="F2" s="287"/>
      <c r="G2" s="288"/>
      <c r="H2" s="288"/>
      <c r="I2" s="288"/>
      <c r="J2" s="93"/>
      <c r="K2" s="87"/>
      <c r="N2" s="8" t="s">
        <v>259</v>
      </c>
      <c r="T2" s="130">
        <v>0</v>
      </c>
    </row>
    <row r="3" spans="1:20" ht="16.5" customHeight="1" thickBot="1" x14ac:dyDescent="0.4">
      <c r="A3" s="148" t="s">
        <v>3</v>
      </c>
      <c r="B3" s="280"/>
      <c r="C3" s="281"/>
      <c r="D3" s="286" t="s">
        <v>6</v>
      </c>
      <c r="E3" s="286"/>
      <c r="F3" s="68"/>
      <c r="G3" s="276" t="s">
        <v>219</v>
      </c>
      <c r="H3" s="277"/>
      <c r="I3" s="67"/>
      <c r="J3" s="94"/>
      <c r="K3" s="8" t="s">
        <v>255</v>
      </c>
    </row>
    <row r="4" spans="1:20" ht="16.5" customHeight="1" x14ac:dyDescent="0.35">
      <c r="A4" s="10" t="s">
        <v>5</v>
      </c>
      <c r="B4" s="284">
        <f>Invoice!B5</f>
        <v>0</v>
      </c>
      <c r="C4" s="285"/>
      <c r="D4" s="286" t="s">
        <v>1</v>
      </c>
      <c r="E4" s="286"/>
      <c r="F4" s="289">
        <f>Invoice!B6</f>
        <v>0</v>
      </c>
      <c r="G4" s="290"/>
      <c r="H4" s="290"/>
      <c r="I4" s="290"/>
      <c r="J4" s="93"/>
      <c r="K4" s="87">
        <f>IF(I3="",0,IF(I3&lt;S6,((S6+500)-I3)-500,0))</f>
        <v>0</v>
      </c>
    </row>
    <row r="5" spans="1:20" ht="16.5" customHeight="1" x14ac:dyDescent="0.35">
      <c r="A5" s="150" t="s">
        <v>8</v>
      </c>
      <c r="B5" s="282"/>
      <c r="C5" s="282"/>
      <c r="D5" s="278" t="s">
        <v>9</v>
      </c>
      <c r="E5" s="279"/>
      <c r="F5" s="105"/>
      <c r="G5" s="150" t="s">
        <v>10</v>
      </c>
      <c r="H5" s="283"/>
      <c r="I5" s="283"/>
      <c r="J5" s="93"/>
      <c r="Q5" s="8" t="s">
        <v>251</v>
      </c>
    </row>
    <row r="6" spans="1:20" ht="16.5" customHeight="1" thickBot="1" x14ac:dyDescent="0.4">
      <c r="A6" s="146" t="s">
        <v>7</v>
      </c>
      <c r="B6" s="268">
        <f>Invoice!I7</f>
        <v>0</v>
      </c>
      <c r="C6" s="268"/>
      <c r="D6" s="269" t="s">
        <v>12</v>
      </c>
      <c r="E6" s="269"/>
      <c r="F6" s="59">
        <f>Invoice!I9</f>
        <v>0</v>
      </c>
      <c r="G6" s="146" t="s">
        <v>26</v>
      </c>
      <c r="H6" s="267">
        <f>Invoice!B9</f>
        <v>0</v>
      </c>
      <c r="I6" s="267"/>
      <c r="J6" s="93"/>
      <c r="L6" s="8" t="s">
        <v>244</v>
      </c>
      <c r="Q6" s="8" t="s">
        <v>258</v>
      </c>
      <c r="S6" s="8">
        <f>IF(I7&lt;=DATE(2020,8,31),0,IF(I7&lt;=DATE(2024,12,31),IF(F3*1&gt;1995,700,400),IF(F3*1&gt;1995,950,600)))</f>
        <v>0</v>
      </c>
    </row>
    <row r="7" spans="1:20" ht="16.5" customHeight="1" thickBot="1" x14ac:dyDescent="0.4">
      <c r="A7" s="14" t="s">
        <v>18</v>
      </c>
      <c r="B7" s="205"/>
      <c r="C7" s="206"/>
      <c r="D7" s="207"/>
      <c r="E7" s="139" t="s">
        <v>27</v>
      </c>
      <c r="F7" s="208"/>
      <c r="G7" s="209"/>
      <c r="H7" s="16" t="s">
        <v>11</v>
      </c>
      <c r="I7" s="72"/>
      <c r="J7" s="95"/>
    </row>
    <row r="8" spans="1:20" ht="12.25" customHeight="1" x14ac:dyDescent="0.35">
      <c r="A8" s="210" t="s">
        <v>28</v>
      </c>
      <c r="B8" s="211"/>
      <c r="C8" s="211"/>
      <c r="D8" s="211"/>
      <c r="E8" s="212"/>
      <c r="F8" s="202" t="s">
        <v>257</v>
      </c>
      <c r="G8" s="203"/>
      <c r="H8" s="203"/>
      <c r="I8" s="204"/>
      <c r="J8" s="93"/>
    </row>
    <row r="9" spans="1:20" ht="16.5" customHeight="1" thickBot="1" x14ac:dyDescent="0.4">
      <c r="A9" s="213"/>
      <c r="B9" s="213"/>
      <c r="C9" s="213"/>
      <c r="D9" s="213"/>
      <c r="E9" s="214"/>
      <c r="F9" s="215">
        <f>Invoice!E9</f>
        <v>0</v>
      </c>
      <c r="G9" s="216"/>
      <c r="H9" s="216"/>
      <c r="I9" s="217"/>
      <c r="J9" s="96"/>
    </row>
    <row r="10" spans="1:20" s="18" customFormat="1" ht="5.9" customHeight="1" thickTop="1" thickBot="1" x14ac:dyDescent="0.4">
      <c r="A10" s="17"/>
      <c r="B10" s="17"/>
      <c r="C10" s="17"/>
      <c r="D10" s="17"/>
      <c r="E10" s="17"/>
      <c r="F10" s="17"/>
      <c r="G10" s="17"/>
      <c r="H10" s="17"/>
      <c r="I10" s="17"/>
      <c r="J10" s="97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s="19" customFormat="1" ht="21.65" customHeight="1" thickTop="1" thickBot="1" x14ac:dyDescent="0.4">
      <c r="A11" s="234" t="s">
        <v>239</v>
      </c>
      <c r="B11" s="235"/>
      <c r="C11" s="235"/>
      <c r="D11" s="235"/>
      <c r="E11" s="235"/>
      <c r="F11" s="235"/>
      <c r="G11" s="235"/>
      <c r="H11" s="235"/>
      <c r="I11" s="236"/>
      <c r="J11" s="98"/>
      <c r="K11" s="195" t="s">
        <v>254</v>
      </c>
      <c r="L11" s="195"/>
      <c r="M11" s="195"/>
      <c r="N11" s="195"/>
      <c r="O11" s="89"/>
      <c r="P11" s="89"/>
      <c r="Q11" s="89"/>
      <c r="R11" s="89"/>
      <c r="S11" s="89"/>
      <c r="T11" s="89"/>
    </row>
    <row r="12" spans="1:20" s="22" customFormat="1" ht="15" customHeight="1" thickTop="1" thickBot="1" x14ac:dyDescent="0.4">
      <c r="A12" s="231" t="s">
        <v>17</v>
      </c>
      <c r="B12" s="232"/>
      <c r="C12" s="232"/>
      <c r="D12" s="233"/>
      <c r="E12" s="20" t="s">
        <v>242</v>
      </c>
      <c r="F12" s="20" t="s">
        <v>13</v>
      </c>
      <c r="G12" s="21" t="s">
        <v>14</v>
      </c>
      <c r="H12" s="20" t="s">
        <v>15</v>
      </c>
      <c r="I12" s="20" t="s">
        <v>16</v>
      </c>
      <c r="J12" s="99"/>
      <c r="K12" s="245" t="s">
        <v>53</v>
      </c>
      <c r="L12" s="245"/>
      <c r="M12" s="90"/>
      <c r="N12" s="90" t="s">
        <v>238</v>
      </c>
      <c r="O12" s="90"/>
      <c r="P12" s="90"/>
      <c r="Q12" s="90"/>
      <c r="R12" s="90"/>
      <c r="S12" s="90"/>
      <c r="T12" s="90"/>
    </row>
    <row r="13" spans="1:20" ht="16.5" customHeight="1" x14ac:dyDescent="0.35">
      <c r="A13" s="190"/>
      <c r="B13" s="191"/>
      <c r="C13" s="191"/>
      <c r="D13" s="192"/>
      <c r="E13" s="107"/>
      <c r="F13" s="62"/>
      <c r="G13" s="149"/>
      <c r="H13" s="62"/>
      <c r="I13" s="23">
        <f t="shared" ref="I13:I24" si="0">G13*H13</f>
        <v>0</v>
      </c>
      <c r="J13" s="100"/>
      <c r="K13" s="241">
        <f>IF(I3="",500,IF(K4=0,IF(I3-S6&gt;500,"RCF Error",I3-S6),0))</f>
        <v>500</v>
      </c>
      <c r="L13" s="241"/>
      <c r="N13" s="87">
        <f>S6-K4</f>
        <v>0</v>
      </c>
      <c r="Q13" s="131">
        <f t="shared" ref="Q13:Q24" si="1">I13*$F$6</f>
        <v>0</v>
      </c>
      <c r="S13" s="8">
        <f>IF(AND(ISEVEN(Q13*10^2),MOD(Q13*10^2,1)&lt;=0.5),ROUNDDOWN(Q13,2),ROUND(Q13,2))</f>
        <v>0</v>
      </c>
    </row>
    <row r="14" spans="1:20" ht="16.5" customHeight="1" x14ac:dyDescent="0.35">
      <c r="A14" s="190"/>
      <c r="B14" s="191"/>
      <c r="C14" s="191"/>
      <c r="D14" s="192"/>
      <c r="E14" s="69"/>
      <c r="F14" s="63"/>
      <c r="G14" s="147"/>
      <c r="H14" s="63"/>
      <c r="I14" s="23">
        <f t="shared" si="0"/>
        <v>0</v>
      </c>
      <c r="J14" s="100"/>
      <c r="M14" s="91"/>
      <c r="Q14" s="131">
        <f t="shared" si="1"/>
        <v>0</v>
      </c>
      <c r="S14" s="8">
        <f t="shared" ref="S14:S24" si="2">IF(AND(ISEVEN(Q14*10^2),MOD(Q14*10^2,1)&lt;=0.5),ROUNDDOWN(Q14,2),ROUND(Q14,2))</f>
        <v>0</v>
      </c>
    </row>
    <row r="15" spans="1:20" ht="16.5" customHeight="1" x14ac:dyDescent="0.35">
      <c r="A15" s="190"/>
      <c r="B15" s="191"/>
      <c r="C15" s="191"/>
      <c r="D15" s="192"/>
      <c r="E15" s="108"/>
      <c r="F15" s="63"/>
      <c r="G15" s="147"/>
      <c r="H15" s="63"/>
      <c r="I15" s="23">
        <f>G15*H15</f>
        <v>0</v>
      </c>
      <c r="J15" s="100"/>
      <c r="K15" s="264" t="s">
        <v>256</v>
      </c>
      <c r="L15" s="264"/>
      <c r="M15" s="264"/>
      <c r="Q15" s="131">
        <f t="shared" si="1"/>
        <v>0</v>
      </c>
      <c r="S15" s="8">
        <f t="shared" si="2"/>
        <v>0</v>
      </c>
    </row>
    <row r="16" spans="1:20" ht="16.5" customHeight="1" x14ac:dyDescent="0.35">
      <c r="A16" s="190"/>
      <c r="B16" s="191"/>
      <c r="C16" s="191"/>
      <c r="D16" s="192"/>
      <c r="E16" s="69"/>
      <c r="F16" s="63"/>
      <c r="G16" s="147"/>
      <c r="H16" s="63"/>
      <c r="I16" s="23">
        <f>G16*H16</f>
        <v>0</v>
      </c>
      <c r="J16" s="100"/>
      <c r="K16" s="242">
        <f>IF(K13=500,0,IF(K13&gt;=0,500-K13,0))</f>
        <v>0</v>
      </c>
      <c r="L16" s="242"/>
      <c r="M16" s="242"/>
      <c r="Q16" s="131">
        <f t="shared" si="1"/>
        <v>0</v>
      </c>
      <c r="S16" s="8">
        <f t="shared" si="2"/>
        <v>0</v>
      </c>
    </row>
    <row r="17" spans="1:20" ht="16.5" customHeight="1" x14ac:dyDescent="0.35">
      <c r="A17" s="190"/>
      <c r="B17" s="191"/>
      <c r="C17" s="191"/>
      <c r="D17" s="192"/>
      <c r="E17" s="69"/>
      <c r="F17" s="63"/>
      <c r="G17" s="147"/>
      <c r="H17" s="63"/>
      <c r="I17" s="23">
        <f t="shared" si="0"/>
        <v>0</v>
      </c>
      <c r="J17" s="100"/>
      <c r="Q17" s="131">
        <f t="shared" si="1"/>
        <v>0</v>
      </c>
      <c r="S17" s="8">
        <f t="shared" si="2"/>
        <v>0</v>
      </c>
    </row>
    <row r="18" spans="1:20" ht="16.5" customHeight="1" x14ac:dyDescent="0.35">
      <c r="A18" s="190"/>
      <c r="B18" s="191"/>
      <c r="C18" s="191"/>
      <c r="D18" s="192"/>
      <c r="E18" s="69"/>
      <c r="F18" s="63"/>
      <c r="G18" s="147"/>
      <c r="H18" s="63"/>
      <c r="I18" s="23">
        <f t="shared" si="0"/>
        <v>0</v>
      </c>
      <c r="J18" s="100"/>
      <c r="K18" s="240" t="s">
        <v>50</v>
      </c>
      <c r="L18" s="240"/>
      <c r="Q18" s="131">
        <f t="shared" si="1"/>
        <v>0</v>
      </c>
      <c r="S18" s="8">
        <f t="shared" si="2"/>
        <v>0</v>
      </c>
    </row>
    <row r="19" spans="1:20" ht="16.5" customHeight="1" x14ac:dyDescent="0.35">
      <c r="A19" s="190"/>
      <c r="B19" s="191"/>
      <c r="C19" s="191"/>
      <c r="D19" s="192"/>
      <c r="E19" s="69"/>
      <c r="F19" s="63"/>
      <c r="G19" s="147"/>
      <c r="H19" s="63"/>
      <c r="I19" s="23">
        <f t="shared" si="0"/>
        <v>0</v>
      </c>
      <c r="J19" s="100"/>
      <c r="K19" s="241">
        <f>T26+(K16/0.8)+(K4/0.8)</f>
        <v>0</v>
      </c>
      <c r="L19" s="240"/>
      <c r="Q19" s="131">
        <f t="shared" si="1"/>
        <v>0</v>
      </c>
      <c r="S19" s="8">
        <f t="shared" si="2"/>
        <v>0</v>
      </c>
    </row>
    <row r="20" spans="1:20" ht="16.5" customHeight="1" x14ac:dyDescent="0.35">
      <c r="A20" s="190"/>
      <c r="B20" s="191"/>
      <c r="C20" s="191"/>
      <c r="D20" s="192"/>
      <c r="E20" s="69"/>
      <c r="F20" s="63"/>
      <c r="G20" s="147"/>
      <c r="H20" s="63"/>
      <c r="I20" s="23">
        <f t="shared" si="0"/>
        <v>0</v>
      </c>
      <c r="J20" s="100"/>
      <c r="Q20" s="131">
        <f t="shared" si="1"/>
        <v>0</v>
      </c>
      <c r="S20" s="8">
        <f t="shared" si="2"/>
        <v>0</v>
      </c>
    </row>
    <row r="21" spans="1:20" ht="16.5" customHeight="1" x14ac:dyDescent="0.35">
      <c r="A21" s="190"/>
      <c r="B21" s="191"/>
      <c r="C21" s="191"/>
      <c r="D21" s="192"/>
      <c r="E21" s="69"/>
      <c r="F21" s="63"/>
      <c r="G21" s="147"/>
      <c r="H21" s="63"/>
      <c r="I21" s="23">
        <f t="shared" si="0"/>
        <v>0</v>
      </c>
      <c r="J21" s="100"/>
      <c r="K21" s="237" t="s">
        <v>51</v>
      </c>
      <c r="L21" s="237"/>
      <c r="Q21" s="131">
        <f t="shared" si="1"/>
        <v>0</v>
      </c>
      <c r="S21" s="8">
        <f t="shared" si="2"/>
        <v>0</v>
      </c>
    </row>
    <row r="22" spans="1:20" ht="16.5" customHeight="1" x14ac:dyDescent="0.35">
      <c r="A22" s="190"/>
      <c r="B22" s="191"/>
      <c r="C22" s="191"/>
      <c r="D22" s="192"/>
      <c r="E22" s="69"/>
      <c r="F22" s="63"/>
      <c r="G22" s="147"/>
      <c r="H22" s="63"/>
      <c r="I22" s="24">
        <f t="shared" si="0"/>
        <v>0</v>
      </c>
      <c r="J22" s="100"/>
      <c r="K22" s="8" t="s">
        <v>40</v>
      </c>
      <c r="L22" s="8" t="s">
        <v>39</v>
      </c>
      <c r="Q22" s="131">
        <f t="shared" si="1"/>
        <v>0</v>
      </c>
      <c r="S22" s="8">
        <f t="shared" si="2"/>
        <v>0</v>
      </c>
    </row>
    <row r="23" spans="1:20" ht="16.5" customHeight="1" x14ac:dyDescent="0.35">
      <c r="A23" s="190"/>
      <c r="B23" s="191"/>
      <c r="C23" s="191"/>
      <c r="D23" s="192"/>
      <c r="E23" s="69"/>
      <c r="F23" s="63"/>
      <c r="G23" s="147"/>
      <c r="H23" s="63"/>
      <c r="I23" s="23">
        <f t="shared" si="0"/>
        <v>0</v>
      </c>
      <c r="J23" s="100"/>
      <c r="K23" s="87">
        <f>SUM(F13:F24)</f>
        <v>0</v>
      </c>
      <c r="L23" s="87">
        <f>SUM(I13:I24)</f>
        <v>0</v>
      </c>
      <c r="Q23" s="131">
        <f t="shared" si="1"/>
        <v>0</v>
      </c>
      <c r="S23" s="8">
        <f t="shared" si="2"/>
        <v>0</v>
      </c>
    </row>
    <row r="24" spans="1:20" ht="16.5" customHeight="1" thickBot="1" x14ac:dyDescent="0.4">
      <c r="A24" s="228"/>
      <c r="B24" s="229"/>
      <c r="C24" s="229"/>
      <c r="D24" s="230"/>
      <c r="E24" s="109"/>
      <c r="F24" s="65"/>
      <c r="G24" s="64"/>
      <c r="H24" s="65"/>
      <c r="I24" s="25">
        <f t="shared" si="0"/>
        <v>0</v>
      </c>
      <c r="J24" s="100"/>
      <c r="Q24" s="131">
        <f t="shared" si="1"/>
        <v>0</v>
      </c>
      <c r="S24" s="8">
        <f t="shared" si="2"/>
        <v>0</v>
      </c>
    </row>
    <row r="25" spans="1:20" ht="24" customHeight="1" thickTop="1" x14ac:dyDescent="0.35">
      <c r="A25" s="251" t="s">
        <v>217</v>
      </c>
      <c r="B25" s="251"/>
      <c r="C25" s="251" t="s">
        <v>218</v>
      </c>
      <c r="D25" s="251"/>
      <c r="E25" s="251" t="s">
        <v>243</v>
      </c>
      <c r="F25" s="251"/>
      <c r="G25" s="26" t="s">
        <v>29</v>
      </c>
      <c r="H25" s="27" t="s">
        <v>22</v>
      </c>
      <c r="I25" s="144" t="s">
        <v>19</v>
      </c>
      <c r="J25" s="101"/>
      <c r="K25" s="239" t="s">
        <v>21</v>
      </c>
      <c r="L25" s="239"/>
      <c r="M25" s="239" t="s">
        <v>23</v>
      </c>
      <c r="N25" s="239"/>
      <c r="O25" s="239" t="s">
        <v>20</v>
      </c>
      <c r="P25" s="239"/>
      <c r="Q25" s="239" t="s">
        <v>29</v>
      </c>
      <c r="R25" s="239"/>
      <c r="S25" s="143" t="s">
        <v>22</v>
      </c>
      <c r="T25" s="140" t="s">
        <v>52</v>
      </c>
    </row>
    <row r="26" spans="1:20" ht="18.649999999999999" customHeight="1" thickBot="1" x14ac:dyDescent="0.4">
      <c r="A26" s="261">
        <f>K26</f>
        <v>0</v>
      </c>
      <c r="B26" s="261"/>
      <c r="C26" s="261">
        <f>M26</f>
        <v>0</v>
      </c>
      <c r="D26" s="261"/>
      <c r="E26" s="261">
        <f>O26</f>
        <v>0</v>
      </c>
      <c r="F26" s="261"/>
      <c r="G26" s="145">
        <f>Q26</f>
        <v>0</v>
      </c>
      <c r="H26" s="145">
        <f>S26</f>
        <v>0</v>
      </c>
      <c r="I26" s="145">
        <f>T26</f>
        <v>0</v>
      </c>
      <c r="J26" s="94"/>
      <c r="K26" s="244">
        <f>IF(S6=0,0,T26*0.2)</f>
        <v>0</v>
      </c>
      <c r="L26" s="245"/>
      <c r="M26" s="244">
        <f>IF(S6=0,IF((T26-K13)&gt;0,T26-K13,0),T26-(Q26+O26+K26))</f>
        <v>0</v>
      </c>
      <c r="N26" s="245"/>
      <c r="O26" s="244">
        <f>IF(S6=0,0,IF(Q26=K13,IF(K19&lt;(625+N13+(N13/0.8)*0.2),((K19-((K16+K4)+((K16+K4)/0.8)*0.2))*0.8)-Q26,N13),0))</f>
        <v>0</v>
      </c>
      <c r="P26" s="244"/>
      <c r="Q26" s="244">
        <f>IF(S6=0,IF(T26&gt;K13,K13,T26),IF(T26*0.8&gt;K13,K13,T26*0.8))</f>
        <v>0</v>
      </c>
      <c r="R26" s="244"/>
      <c r="S26" s="142">
        <f>SUM(S13:S24)</f>
        <v>0</v>
      </c>
      <c r="T26" s="142">
        <f>K23+L23+S26</f>
        <v>0</v>
      </c>
    </row>
    <row r="27" spans="1:20" ht="5.9" customHeight="1" thickTop="1" thickBot="1" x14ac:dyDescent="0.4">
      <c r="A27" s="17"/>
      <c r="B27" s="17"/>
      <c r="C27" s="17"/>
      <c r="D27" s="17"/>
      <c r="E27" s="17"/>
      <c r="F27" s="17"/>
      <c r="G27" s="17"/>
      <c r="H27" s="17"/>
      <c r="I27" s="30"/>
      <c r="J27" s="97"/>
    </row>
    <row r="28" spans="1:20" ht="15" customHeight="1" thickTop="1" thickBot="1" x14ac:dyDescent="0.4">
      <c r="A28" s="248" t="s">
        <v>24</v>
      </c>
      <c r="B28" s="248"/>
      <c r="C28" s="248"/>
      <c r="D28" s="248"/>
      <c r="E28" s="31" t="s">
        <v>242</v>
      </c>
      <c r="F28" s="31" t="s">
        <v>13</v>
      </c>
      <c r="G28" s="32" t="s">
        <v>14</v>
      </c>
      <c r="H28" s="31" t="s">
        <v>15</v>
      </c>
      <c r="I28" s="31" t="s">
        <v>16</v>
      </c>
      <c r="J28" s="99"/>
      <c r="K28" s="240" t="s">
        <v>50</v>
      </c>
      <c r="L28" s="240"/>
    </row>
    <row r="29" spans="1:20" ht="16.5" customHeight="1" x14ac:dyDescent="0.35">
      <c r="A29" s="190"/>
      <c r="B29" s="191"/>
      <c r="C29" s="191"/>
      <c r="D29" s="192"/>
      <c r="E29" s="107"/>
      <c r="F29" s="62"/>
      <c r="G29" s="149"/>
      <c r="H29" s="62"/>
      <c r="I29" s="23">
        <f t="shared" ref="I29:I34" si="3">G29*H29</f>
        <v>0</v>
      </c>
      <c r="J29" s="100"/>
      <c r="K29" s="241">
        <f>T26+T36+(K16/0.8)+(K4/0.8)</f>
        <v>0</v>
      </c>
      <c r="L29" s="240"/>
      <c r="O29" s="91" t="s">
        <v>247</v>
      </c>
      <c r="Q29" s="132">
        <f>I29*$F$6</f>
        <v>0</v>
      </c>
      <c r="S29" s="133">
        <f>IF(AND(ISEVEN(Q29*10^2),MOD(Q29*10^2,1)&lt;=0.5),ROUNDDOWN(Q29,2),ROUND(Q29,2))</f>
        <v>0</v>
      </c>
    </row>
    <row r="30" spans="1:20" ht="16.5" customHeight="1" x14ac:dyDescent="0.35">
      <c r="A30" s="190"/>
      <c r="B30" s="191"/>
      <c r="C30" s="191"/>
      <c r="D30" s="192"/>
      <c r="E30" s="69"/>
      <c r="F30" s="106"/>
      <c r="G30" s="147"/>
      <c r="H30" s="63"/>
      <c r="I30" s="23">
        <f t="shared" si="3"/>
        <v>0</v>
      </c>
      <c r="J30" s="100"/>
      <c r="M30" s="87"/>
      <c r="O30" s="8">
        <f>IF(OR(ROUND(H41,2)&lt;N13,H41="Error"),"Fix",)</f>
        <v>0</v>
      </c>
      <c r="P30" s="87"/>
      <c r="Q30" s="132">
        <f t="shared" ref="Q30:Q34" si="4">I30*$F$6</f>
        <v>0</v>
      </c>
      <c r="S30" s="133">
        <f t="shared" ref="S30:S34" si="5">IF(AND(ISEVEN(Q30*10^2),MOD(Q30*10^2,1)&lt;=0.5),ROUNDDOWN(Q30,2),ROUND(Q30,2))</f>
        <v>0</v>
      </c>
    </row>
    <row r="31" spans="1:20" ht="16.5" customHeight="1" x14ac:dyDescent="0.35">
      <c r="A31" s="190"/>
      <c r="B31" s="191"/>
      <c r="C31" s="191"/>
      <c r="D31" s="192"/>
      <c r="E31" s="69"/>
      <c r="F31" s="63"/>
      <c r="G31" s="147"/>
      <c r="H31" s="63"/>
      <c r="I31" s="23">
        <f t="shared" si="3"/>
        <v>0</v>
      </c>
      <c r="J31" s="100"/>
      <c r="K31" s="237" t="s">
        <v>55</v>
      </c>
      <c r="L31" s="237"/>
      <c r="M31" s="243" t="s">
        <v>246</v>
      </c>
      <c r="N31" s="243"/>
      <c r="Q31" s="132">
        <f t="shared" si="4"/>
        <v>0</v>
      </c>
      <c r="S31" s="133">
        <f t="shared" si="5"/>
        <v>0</v>
      </c>
    </row>
    <row r="32" spans="1:20" ht="16.5" customHeight="1" x14ac:dyDescent="0.35">
      <c r="A32" s="190"/>
      <c r="B32" s="191"/>
      <c r="C32" s="191"/>
      <c r="D32" s="192"/>
      <c r="E32" s="69"/>
      <c r="F32" s="63"/>
      <c r="G32" s="147"/>
      <c r="H32" s="63"/>
      <c r="I32" s="23">
        <f t="shared" si="3"/>
        <v>0</v>
      </c>
      <c r="J32" s="100"/>
      <c r="K32" s="8" t="s">
        <v>40</v>
      </c>
      <c r="L32" s="8" t="s">
        <v>39</v>
      </c>
      <c r="M32" s="240" t="s">
        <v>235</v>
      </c>
      <c r="N32" s="240"/>
      <c r="O32" s="240" t="s">
        <v>236</v>
      </c>
      <c r="P32" s="240"/>
      <c r="Q32" s="132">
        <f t="shared" si="4"/>
        <v>0</v>
      </c>
      <c r="S32" s="133">
        <f t="shared" si="5"/>
        <v>0</v>
      </c>
    </row>
    <row r="33" spans="1:20" ht="16.5" customHeight="1" x14ac:dyDescent="0.35">
      <c r="A33" s="190"/>
      <c r="B33" s="191"/>
      <c r="C33" s="191"/>
      <c r="D33" s="192"/>
      <c r="E33" s="69"/>
      <c r="F33" s="63"/>
      <c r="G33" s="147"/>
      <c r="H33" s="63"/>
      <c r="I33" s="23">
        <f t="shared" si="3"/>
        <v>0</v>
      </c>
      <c r="J33" s="100"/>
      <c r="K33" s="87">
        <f>SUM(F29:F34)</f>
        <v>0</v>
      </c>
      <c r="L33" s="87">
        <f>SUM(I29:I34)</f>
        <v>0</v>
      </c>
      <c r="M33" s="241">
        <f>IF((Q41-((K13*100)/80))*0.8&gt;S6,S6,(Q41-((K13*100)/80))*0.8)</f>
        <v>-500</v>
      </c>
      <c r="N33" s="240"/>
      <c r="O33" s="241">
        <f>IF(T36&gt;0,IF(M33&lt;0,,IF(ROUND(M33,2)=N13,0,M33)),)</f>
        <v>0</v>
      </c>
      <c r="P33" s="241"/>
      <c r="Q33" s="132">
        <f t="shared" si="4"/>
        <v>0</v>
      </c>
      <c r="S33" s="133">
        <f t="shared" si="5"/>
        <v>0</v>
      </c>
    </row>
    <row r="34" spans="1:20" ht="16.5" customHeight="1" thickBot="1" x14ac:dyDescent="0.4">
      <c r="A34" s="228"/>
      <c r="B34" s="229"/>
      <c r="C34" s="229"/>
      <c r="D34" s="230"/>
      <c r="E34" s="109"/>
      <c r="F34" s="65"/>
      <c r="G34" s="64"/>
      <c r="H34" s="65"/>
      <c r="I34" s="25">
        <f t="shared" si="3"/>
        <v>0</v>
      </c>
      <c r="J34" s="100"/>
      <c r="Q34" s="132">
        <f t="shared" si="4"/>
        <v>0</v>
      </c>
      <c r="S34" s="133">
        <f t="shared" si="5"/>
        <v>0</v>
      </c>
    </row>
    <row r="35" spans="1:20" ht="26.25" customHeight="1" thickTop="1" x14ac:dyDescent="0.35">
      <c r="A35" s="251" t="s">
        <v>237</v>
      </c>
      <c r="B35" s="251"/>
      <c r="C35" s="251" t="s">
        <v>241</v>
      </c>
      <c r="D35" s="251"/>
      <c r="E35" s="251" t="s">
        <v>243</v>
      </c>
      <c r="F35" s="251"/>
      <c r="G35" s="26" t="s">
        <v>29</v>
      </c>
      <c r="H35" s="27" t="s">
        <v>22</v>
      </c>
      <c r="I35" s="144" t="s">
        <v>25</v>
      </c>
      <c r="J35" s="101"/>
      <c r="K35" s="239" t="s">
        <v>21</v>
      </c>
      <c r="L35" s="239"/>
      <c r="M35" s="239" t="s">
        <v>23</v>
      </c>
      <c r="N35" s="239"/>
      <c r="O35" s="239" t="s">
        <v>20</v>
      </c>
      <c r="P35" s="239"/>
      <c r="Q35" s="239" t="s">
        <v>29</v>
      </c>
      <c r="R35" s="239"/>
      <c r="S35" s="143" t="s">
        <v>22</v>
      </c>
      <c r="T35" s="140" t="s">
        <v>54</v>
      </c>
    </row>
    <row r="36" spans="1:20" ht="18.649999999999999" customHeight="1" thickBot="1" x14ac:dyDescent="0.4">
      <c r="A36" s="261">
        <f>K36</f>
        <v>0</v>
      </c>
      <c r="B36" s="261"/>
      <c r="C36" s="252">
        <f>M36</f>
        <v>0</v>
      </c>
      <c r="D36" s="253"/>
      <c r="E36" s="261">
        <f>O36</f>
        <v>0</v>
      </c>
      <c r="F36" s="261"/>
      <c r="G36" s="145">
        <f>Q36</f>
        <v>0</v>
      </c>
      <c r="H36" s="145">
        <f>S36</f>
        <v>0</v>
      </c>
      <c r="I36" s="145">
        <f>T36</f>
        <v>0</v>
      </c>
      <c r="J36" s="94"/>
      <c r="K36" s="242">
        <f>IF(S6=0,0,T36*0.2)</f>
        <v>0</v>
      </c>
      <c r="L36" s="242"/>
      <c r="M36" s="242">
        <f>IF(AND(S6=0,T36&gt;0),IF((T36-(K13-Q26))&gt;0,T36-(K13-Q26),0),T36-(Q36+O36+K36))</f>
        <v>0</v>
      </c>
      <c r="N36" s="242"/>
      <c r="O36" s="242">
        <f>IF(S6=0,0,IF(Q26+Q36=K13,IF(K29&lt;(625+N13+(N13/0.8)*0.2),((K29-(625+O26+(O26/0.8)*0.2))*0.8)-K4,N13-O26),0))</f>
        <v>0</v>
      </c>
      <c r="P36" s="242"/>
      <c r="Q36" s="242">
        <f>IF(AND(S6=0,T36&gt;0),IF(K13-Q26&gt;T36,T36,K13-Q26),IF(T36*0.8&gt;K13-Q26, K13-Q26,T36*0.8))</f>
        <v>0</v>
      </c>
      <c r="R36" s="242"/>
      <c r="S36" s="141">
        <f>SUM(S29:S34)</f>
        <v>0</v>
      </c>
      <c r="T36" s="141">
        <f>K33+L33+S36</f>
        <v>0</v>
      </c>
    </row>
    <row r="37" spans="1:20" ht="5.9" customHeight="1" thickTop="1" thickBot="1" x14ac:dyDescent="0.4">
      <c r="A37" s="71"/>
      <c r="B37" s="71"/>
      <c r="C37" s="34"/>
      <c r="D37" s="34"/>
      <c r="E37" s="34"/>
      <c r="F37" s="71"/>
      <c r="G37" s="71"/>
      <c r="H37" s="34"/>
      <c r="I37" s="34"/>
      <c r="J37" s="102"/>
    </row>
    <row r="38" spans="1:20" ht="21.65" customHeight="1" thickTop="1" thickBot="1" x14ac:dyDescent="0.4">
      <c r="A38" s="258" t="s">
        <v>240</v>
      </c>
      <c r="B38" s="258"/>
      <c r="C38" s="258"/>
      <c r="D38" s="258"/>
      <c r="E38" s="258"/>
      <c r="F38" s="258"/>
      <c r="G38" s="258"/>
      <c r="H38" s="258"/>
      <c r="I38" s="258"/>
      <c r="J38" s="92"/>
      <c r="O38" s="8">
        <f>IF(Q26+Q36=K13,IF(K29&lt;(625+N13+(N13/0.8)*0.2),1,2),0)</f>
        <v>0</v>
      </c>
    </row>
    <row r="39" spans="1:20" ht="22.5" customHeight="1" thickTop="1" x14ac:dyDescent="0.35">
      <c r="A39" s="262" t="s">
        <v>13</v>
      </c>
      <c r="B39" s="265" t="s">
        <v>16</v>
      </c>
      <c r="C39" s="246" t="s">
        <v>22</v>
      </c>
      <c r="D39" s="249" t="s">
        <v>216</v>
      </c>
      <c r="E39" s="256" t="s">
        <v>221</v>
      </c>
      <c r="F39" s="257"/>
      <c r="G39" s="249" t="s">
        <v>220</v>
      </c>
      <c r="H39" s="259" t="s">
        <v>243</v>
      </c>
      <c r="I39" s="193" t="s">
        <v>56</v>
      </c>
      <c r="J39" s="101"/>
      <c r="M39" s="237" t="s">
        <v>30</v>
      </c>
      <c r="N39" s="237"/>
      <c r="S39" s="238" t="s">
        <v>33</v>
      </c>
      <c r="T39" s="238" t="s">
        <v>32</v>
      </c>
    </row>
    <row r="40" spans="1:20" ht="13.5" customHeight="1" thickBot="1" x14ac:dyDescent="0.4">
      <c r="A40" s="263"/>
      <c r="B40" s="266"/>
      <c r="C40" s="247"/>
      <c r="D40" s="250"/>
      <c r="E40" s="254" t="s">
        <v>219</v>
      </c>
      <c r="F40" s="255"/>
      <c r="G40" s="250"/>
      <c r="H40" s="260"/>
      <c r="I40" s="194"/>
      <c r="J40" s="103"/>
      <c r="M40" s="90" t="s">
        <v>40</v>
      </c>
      <c r="N40" s="90" t="s">
        <v>39</v>
      </c>
      <c r="P40" s="90" t="s">
        <v>31</v>
      </c>
      <c r="Q40" s="90" t="s">
        <v>30</v>
      </c>
      <c r="S40" s="238"/>
      <c r="T40" s="238"/>
    </row>
    <row r="41" spans="1:20" ht="14.25" customHeight="1" x14ac:dyDescent="0.35">
      <c r="A41" s="196">
        <f>M41</f>
        <v>0</v>
      </c>
      <c r="B41" s="198">
        <f>N41</f>
        <v>0</v>
      </c>
      <c r="C41" s="200">
        <f>P41</f>
        <v>0</v>
      </c>
      <c r="D41" s="222">
        <f>Q41</f>
        <v>0</v>
      </c>
      <c r="E41" s="224">
        <f>K26+K36</f>
        <v>0</v>
      </c>
      <c r="F41" s="226">
        <f>M26+M36</f>
        <v>0</v>
      </c>
      <c r="G41" s="222">
        <f>S41</f>
        <v>0</v>
      </c>
      <c r="H41" s="220">
        <f>IF(I41="Error","Error",O26+O36)</f>
        <v>0</v>
      </c>
      <c r="I41" s="218" t="str">
        <f>T41</f>
        <v/>
      </c>
      <c r="J41" s="94"/>
      <c r="M41" s="141">
        <f>K23+K33</f>
        <v>0</v>
      </c>
      <c r="N41" s="141">
        <f>L23+L33</f>
        <v>0</v>
      </c>
      <c r="O41" s="90"/>
      <c r="P41" s="141">
        <f>S26+S36</f>
        <v>0</v>
      </c>
      <c r="Q41" s="141">
        <f>T26+T36</f>
        <v>0</v>
      </c>
      <c r="S41" s="141">
        <f>K26+M26+K36+M36</f>
        <v>0</v>
      </c>
      <c r="T41" s="141" t="str">
        <f>IF(K13="RCF Error",K13,IF(Q26+O26+O36+Q36=0,"",IF(I7="","Date Required",Q26+O26+O36+Q36)))</f>
        <v/>
      </c>
    </row>
    <row r="42" spans="1:20" ht="9" customHeight="1" thickBot="1" x14ac:dyDescent="0.4">
      <c r="A42" s="197"/>
      <c r="B42" s="199"/>
      <c r="C42" s="201"/>
      <c r="D42" s="223"/>
      <c r="E42" s="225"/>
      <c r="F42" s="227"/>
      <c r="G42" s="223"/>
      <c r="H42" s="221"/>
      <c r="I42" s="219"/>
      <c r="J42" s="94"/>
    </row>
  </sheetData>
  <sheetProtection algorithmName="SHA-512" hashValue="JneI9c0Vqlpfe3KRibSfubL/YoOhl9vzuKitAZ80EO27dyfWUuS2SlQCF4bQUGi13MpX2sygpDwhhfgzOTwFrQ==" saltValue="lq2NCSO/YsZZdh3QO+ycYA==" spinCount="100000" sheet="1" objects="1" scenarios="1"/>
  <dataConsolidate/>
  <mergeCells count="108">
    <mergeCell ref="A1:I1"/>
    <mergeCell ref="B2:C2"/>
    <mergeCell ref="D2:E2"/>
    <mergeCell ref="F2:I2"/>
    <mergeCell ref="B3:C3"/>
    <mergeCell ref="D3:E3"/>
    <mergeCell ref="G3:H3"/>
    <mergeCell ref="B6:C6"/>
    <mergeCell ref="D6:E6"/>
    <mergeCell ref="H6:I6"/>
    <mergeCell ref="B7:D7"/>
    <mergeCell ref="F7:G7"/>
    <mergeCell ref="A8:E9"/>
    <mergeCell ref="F8:I8"/>
    <mergeCell ref="F9:I9"/>
    <mergeCell ref="B4:C4"/>
    <mergeCell ref="D4:E4"/>
    <mergeCell ref="F4:I4"/>
    <mergeCell ref="B5:C5"/>
    <mergeCell ref="D5:E5"/>
    <mergeCell ref="H5:I5"/>
    <mergeCell ref="A14:D14"/>
    <mergeCell ref="A15:D15"/>
    <mergeCell ref="K15:M15"/>
    <mergeCell ref="A16:D16"/>
    <mergeCell ref="K16:M16"/>
    <mergeCell ref="A17:D17"/>
    <mergeCell ref="A11:I11"/>
    <mergeCell ref="K11:N11"/>
    <mergeCell ref="A12:D12"/>
    <mergeCell ref="K12:L12"/>
    <mergeCell ref="A13:D13"/>
    <mergeCell ref="K13:L13"/>
    <mergeCell ref="A22:D22"/>
    <mergeCell ref="A23:D23"/>
    <mergeCell ref="A24:D24"/>
    <mergeCell ref="A25:B25"/>
    <mergeCell ref="C25:D25"/>
    <mergeCell ref="E25:F25"/>
    <mergeCell ref="A18:D18"/>
    <mergeCell ref="K18:L18"/>
    <mergeCell ref="A19:D19"/>
    <mergeCell ref="K19:L19"/>
    <mergeCell ref="A20:D20"/>
    <mergeCell ref="A21:D21"/>
    <mergeCell ref="K21:L21"/>
    <mergeCell ref="K25:L25"/>
    <mergeCell ref="M25:N25"/>
    <mergeCell ref="O25:P25"/>
    <mergeCell ref="Q25:R25"/>
    <mergeCell ref="A26:B26"/>
    <mergeCell ref="C26:D26"/>
    <mergeCell ref="E26:F26"/>
    <mergeCell ref="K26:L26"/>
    <mergeCell ref="M26:N26"/>
    <mergeCell ref="O26:P26"/>
    <mergeCell ref="A31:D31"/>
    <mergeCell ref="K31:L31"/>
    <mergeCell ref="M31:N31"/>
    <mergeCell ref="A32:D32"/>
    <mergeCell ref="M32:N32"/>
    <mergeCell ref="O32:P32"/>
    <mergeCell ref="Q26:R26"/>
    <mergeCell ref="A28:D28"/>
    <mergeCell ref="K28:L28"/>
    <mergeCell ref="A29:D29"/>
    <mergeCell ref="K29:L29"/>
    <mergeCell ref="A30:D30"/>
    <mergeCell ref="Q35:R35"/>
    <mergeCell ref="A36:B36"/>
    <mergeCell ref="C36:D36"/>
    <mergeCell ref="E36:F36"/>
    <mergeCell ref="K36:L36"/>
    <mergeCell ref="M36:N36"/>
    <mergeCell ref="O36:P36"/>
    <mergeCell ref="Q36:R36"/>
    <mergeCell ref="A33:D33"/>
    <mergeCell ref="M33:N33"/>
    <mergeCell ref="O33:P33"/>
    <mergeCell ref="A34:D34"/>
    <mergeCell ref="A35:B35"/>
    <mergeCell ref="C35:D35"/>
    <mergeCell ref="E35:F35"/>
    <mergeCell ref="K35:L35"/>
    <mergeCell ref="M35:N35"/>
    <mergeCell ref="O35:P35"/>
    <mergeCell ref="A38:I38"/>
    <mergeCell ref="A39:A40"/>
    <mergeCell ref="B39:B40"/>
    <mergeCell ref="C39:C40"/>
    <mergeCell ref="D39:D40"/>
    <mergeCell ref="E39:F39"/>
    <mergeCell ref="G39:G40"/>
    <mergeCell ref="H39:H40"/>
    <mergeCell ref="I39:I40"/>
    <mergeCell ref="G41:G42"/>
    <mergeCell ref="H41:H42"/>
    <mergeCell ref="I41:I42"/>
    <mergeCell ref="M39:N39"/>
    <mergeCell ref="S39:S40"/>
    <mergeCell ref="T39:T40"/>
    <mergeCell ref="E40:F40"/>
    <mergeCell ref="A41:A42"/>
    <mergeCell ref="B41:B42"/>
    <mergeCell ref="C41:C42"/>
    <mergeCell ref="D41:D42"/>
    <mergeCell ref="E41:E42"/>
    <mergeCell ref="F41:F42"/>
  </mergeCells>
  <conditionalFormatting sqref="E13:E24 E29:E34">
    <cfRule type="expression" dxfId="3" priority="2">
      <formula>TRUNC(E13*10) &lt;&gt; E13*10</formula>
    </cfRule>
  </conditionalFormatting>
  <conditionalFormatting sqref="F13:F24 F29:F34">
    <cfRule type="expression" dxfId="2" priority="1">
      <formula>$B$6*E13&lt;&gt;F13</formula>
    </cfRule>
  </conditionalFormatting>
  <dataValidations count="3">
    <dataValidation type="whole" allowBlank="1" showInputMessage="1" showErrorMessage="1" sqref="B2:C2" xr:uid="{4A8BE68C-191B-4FA8-A5D8-D35CC6019C01}">
      <formula1>1000000</formula1>
      <formula2>9999999</formula2>
    </dataValidation>
    <dataValidation type="decimal" showInputMessage="1" showErrorMessage="1" sqref="I3" xr:uid="{FDC25ED2-98B5-468F-8A28-5D59C944F641}">
      <formula1>0</formula1>
      <formula2>S6+500</formula2>
    </dataValidation>
    <dataValidation type="date" allowBlank="1" showInputMessage="1" showErrorMessage="1" sqref="I7" xr:uid="{20931FA6-30A8-475F-BCE9-5E47B3CF3759}">
      <formula1>40179</formula1>
      <formula2>TODAY()</formula2>
    </dataValidation>
  </dataValidations>
  <pageMargins left="0.5" right="0.5" top="0.6" bottom="0.4" header="0.2" footer="0.2"/>
  <pageSetup orientation="portrait" r:id="rId1"/>
  <headerFooter differentOddEven="1">
    <oddHeader>&amp;L&amp;"Times New Roman,Bold"&amp;14&amp;K000000Repair Notification Form&amp;C&amp;"Times New Roman,Bold"&amp;14Fax To: 888.336.8334&amp;R&amp;"Times New Roman,Bold"&amp;14E-Mail: ERNF@dca.ca.gov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582E54C-344B-4111-AB51-D3260F2533CF}">
          <x14:formula1>
            <xm:f>Dropdown!$A$2:$A$164</xm:f>
          </x14:formula1>
          <xm:sqref>A13:D24 A29:D34</xm:sqref>
        </x14:dataValidation>
        <x14:dataValidation type="list" allowBlank="1" showInputMessage="1" xr:uid="{68341171-C841-4EF0-9313-A73E22847C41}">
          <x14:formula1>
            <xm:f>Dropdown!$C$2:$C$10</xm:f>
          </x14:formula1>
          <xm:sqref>H5:I5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01A6-29D4-4E21-8BB7-0960A1052108}">
  <dimension ref="A1:T42"/>
  <sheetViews>
    <sheetView showZeros="0" view="pageLayout" zoomScaleNormal="100" workbookViewId="0">
      <selection activeCell="B2" sqref="B2:C2"/>
    </sheetView>
  </sheetViews>
  <sheetFormatPr defaultColWidth="9" defaultRowHeight="14.5" x14ac:dyDescent="0.35"/>
  <cols>
    <col min="1" max="1" width="10" style="9" customWidth="1"/>
    <col min="2" max="2" width="9.81640625" style="9" customWidth="1"/>
    <col min="3" max="3" width="9.1796875" style="9" customWidth="1"/>
    <col min="4" max="4" width="9.81640625" style="9" customWidth="1"/>
    <col min="5" max="5" width="9.7265625" style="9" customWidth="1"/>
    <col min="6" max="6" width="9.54296875" style="9" customWidth="1"/>
    <col min="7" max="7" width="11" style="9" customWidth="1"/>
    <col min="8" max="8" width="10.1796875" style="9" customWidth="1"/>
    <col min="9" max="9" width="12.1796875" style="9" customWidth="1"/>
    <col min="10" max="10" width="1.81640625" style="77" customWidth="1"/>
    <col min="11" max="11" width="9" style="8" customWidth="1"/>
    <col min="12" max="12" width="9" style="8"/>
    <col min="13" max="13" width="9" style="8" customWidth="1"/>
    <col min="14" max="16" width="9" style="8"/>
    <col min="17" max="17" width="11.81640625" style="8" customWidth="1"/>
    <col min="18" max="18" width="5.26953125" style="8" customWidth="1"/>
    <col min="19" max="19" width="10.453125" style="8" customWidth="1"/>
    <col min="20" max="20" width="11.7265625" style="8" customWidth="1"/>
    <col min="21" max="16384" width="9" style="9"/>
  </cols>
  <sheetData>
    <row r="1" spans="1:20" ht="21.65" customHeight="1" thickBot="1" x14ac:dyDescent="0.4">
      <c r="A1" s="270" t="s">
        <v>0</v>
      </c>
      <c r="B1" s="271"/>
      <c r="C1" s="271"/>
      <c r="D1" s="271"/>
      <c r="E1" s="271"/>
      <c r="F1" s="271"/>
      <c r="G1" s="271"/>
      <c r="H1" s="271"/>
      <c r="I1" s="272"/>
      <c r="J1" s="92"/>
      <c r="N1" s="86" t="s">
        <v>245</v>
      </c>
    </row>
    <row r="2" spans="1:20" ht="17.25" customHeight="1" thickTop="1" thickBot="1" x14ac:dyDescent="0.4">
      <c r="A2" s="10" t="s">
        <v>4</v>
      </c>
      <c r="B2" s="273"/>
      <c r="C2" s="273"/>
      <c r="D2" s="274" t="s">
        <v>2</v>
      </c>
      <c r="E2" s="275"/>
      <c r="F2" s="287"/>
      <c r="G2" s="288"/>
      <c r="H2" s="288"/>
      <c r="I2" s="288"/>
      <c r="J2" s="93"/>
      <c r="K2" s="87"/>
      <c r="N2" s="8" t="s">
        <v>259</v>
      </c>
      <c r="T2" s="130">
        <v>0</v>
      </c>
    </row>
    <row r="3" spans="1:20" ht="16.5" customHeight="1" thickBot="1" x14ac:dyDescent="0.4">
      <c r="A3" s="148" t="s">
        <v>3</v>
      </c>
      <c r="B3" s="280"/>
      <c r="C3" s="281"/>
      <c r="D3" s="286" t="s">
        <v>6</v>
      </c>
      <c r="E3" s="286"/>
      <c r="F3" s="68"/>
      <c r="G3" s="276" t="s">
        <v>219</v>
      </c>
      <c r="H3" s="277"/>
      <c r="I3" s="67"/>
      <c r="J3" s="94"/>
      <c r="K3" s="8" t="s">
        <v>255</v>
      </c>
    </row>
    <row r="4" spans="1:20" ht="16.5" customHeight="1" x14ac:dyDescent="0.35">
      <c r="A4" s="10" t="s">
        <v>5</v>
      </c>
      <c r="B4" s="284">
        <f>Invoice!B5</f>
        <v>0</v>
      </c>
      <c r="C4" s="285"/>
      <c r="D4" s="286" t="s">
        <v>1</v>
      </c>
      <c r="E4" s="286"/>
      <c r="F4" s="289">
        <f>Invoice!B6</f>
        <v>0</v>
      </c>
      <c r="G4" s="290"/>
      <c r="H4" s="290"/>
      <c r="I4" s="290"/>
      <c r="J4" s="93"/>
      <c r="K4" s="87">
        <f>IF(I3="",0,IF(I3&lt;S6,((S6+500)-I3)-500,0))</f>
        <v>0</v>
      </c>
    </row>
    <row r="5" spans="1:20" ht="16.5" customHeight="1" x14ac:dyDescent="0.35">
      <c r="A5" s="150" t="s">
        <v>8</v>
      </c>
      <c r="B5" s="282"/>
      <c r="C5" s="282"/>
      <c r="D5" s="278" t="s">
        <v>9</v>
      </c>
      <c r="E5" s="279"/>
      <c r="F5" s="105"/>
      <c r="G5" s="150" t="s">
        <v>10</v>
      </c>
      <c r="H5" s="283"/>
      <c r="I5" s="283"/>
      <c r="J5" s="93"/>
      <c r="Q5" s="8" t="s">
        <v>251</v>
      </c>
    </row>
    <row r="6" spans="1:20" ht="16.5" customHeight="1" thickBot="1" x14ac:dyDescent="0.4">
      <c r="A6" s="146" t="s">
        <v>7</v>
      </c>
      <c r="B6" s="268">
        <f>Invoice!I7</f>
        <v>0</v>
      </c>
      <c r="C6" s="268"/>
      <c r="D6" s="269" t="s">
        <v>12</v>
      </c>
      <c r="E6" s="269"/>
      <c r="F6" s="59">
        <f>Invoice!I9</f>
        <v>0</v>
      </c>
      <c r="G6" s="146" t="s">
        <v>26</v>
      </c>
      <c r="H6" s="267">
        <f>Invoice!B9</f>
        <v>0</v>
      </c>
      <c r="I6" s="267"/>
      <c r="J6" s="93"/>
      <c r="L6" s="8" t="s">
        <v>244</v>
      </c>
      <c r="Q6" s="8" t="s">
        <v>258</v>
      </c>
      <c r="S6" s="8">
        <f>IF(I7&lt;=DATE(2020,8,31),0,IF(I7&lt;=DATE(2024,12,31),IF(F3*1&gt;1995,700,400),IF(F3*1&gt;1995,950,600)))</f>
        <v>0</v>
      </c>
    </row>
    <row r="7" spans="1:20" ht="16.5" customHeight="1" thickBot="1" x14ac:dyDescent="0.4">
      <c r="A7" s="14" t="s">
        <v>18</v>
      </c>
      <c r="B7" s="205"/>
      <c r="C7" s="206"/>
      <c r="D7" s="207"/>
      <c r="E7" s="139" t="s">
        <v>27</v>
      </c>
      <c r="F7" s="208"/>
      <c r="G7" s="209"/>
      <c r="H7" s="16" t="s">
        <v>11</v>
      </c>
      <c r="I7" s="72"/>
      <c r="J7" s="95"/>
    </row>
    <row r="8" spans="1:20" ht="12.25" customHeight="1" x14ac:dyDescent="0.35">
      <c r="A8" s="210" t="s">
        <v>28</v>
      </c>
      <c r="B8" s="211"/>
      <c r="C8" s="211"/>
      <c r="D8" s="211"/>
      <c r="E8" s="212"/>
      <c r="F8" s="202" t="s">
        <v>257</v>
      </c>
      <c r="G8" s="203"/>
      <c r="H8" s="203"/>
      <c r="I8" s="204"/>
      <c r="J8" s="93"/>
    </row>
    <row r="9" spans="1:20" ht="16.5" customHeight="1" thickBot="1" x14ac:dyDescent="0.4">
      <c r="A9" s="213"/>
      <c r="B9" s="213"/>
      <c r="C9" s="213"/>
      <c r="D9" s="213"/>
      <c r="E9" s="214"/>
      <c r="F9" s="215">
        <f>Invoice!E9</f>
        <v>0</v>
      </c>
      <c r="G9" s="216"/>
      <c r="H9" s="216"/>
      <c r="I9" s="217"/>
      <c r="J9" s="96"/>
    </row>
    <row r="10" spans="1:20" s="18" customFormat="1" ht="5.9" customHeight="1" thickTop="1" thickBot="1" x14ac:dyDescent="0.4">
      <c r="A10" s="17"/>
      <c r="B10" s="17"/>
      <c r="C10" s="17"/>
      <c r="D10" s="17"/>
      <c r="E10" s="17"/>
      <c r="F10" s="17"/>
      <c r="G10" s="17"/>
      <c r="H10" s="17"/>
      <c r="I10" s="17"/>
      <c r="J10" s="97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s="19" customFormat="1" ht="21.65" customHeight="1" thickTop="1" thickBot="1" x14ac:dyDescent="0.4">
      <c r="A11" s="234" t="s">
        <v>239</v>
      </c>
      <c r="B11" s="235"/>
      <c r="C11" s="235"/>
      <c r="D11" s="235"/>
      <c r="E11" s="235"/>
      <c r="F11" s="235"/>
      <c r="G11" s="235"/>
      <c r="H11" s="235"/>
      <c r="I11" s="236"/>
      <c r="J11" s="98"/>
      <c r="K11" s="195" t="s">
        <v>254</v>
      </c>
      <c r="L11" s="195"/>
      <c r="M11" s="195"/>
      <c r="N11" s="195"/>
      <c r="O11" s="89"/>
      <c r="P11" s="89"/>
      <c r="Q11" s="89"/>
      <c r="R11" s="89"/>
      <c r="S11" s="89"/>
      <c r="T11" s="89"/>
    </row>
    <row r="12" spans="1:20" s="22" customFormat="1" ht="15" customHeight="1" thickTop="1" thickBot="1" x14ac:dyDescent="0.4">
      <c r="A12" s="231" t="s">
        <v>17</v>
      </c>
      <c r="B12" s="232"/>
      <c r="C12" s="232"/>
      <c r="D12" s="233"/>
      <c r="E12" s="20" t="s">
        <v>242</v>
      </c>
      <c r="F12" s="20" t="s">
        <v>13</v>
      </c>
      <c r="G12" s="21" t="s">
        <v>14</v>
      </c>
      <c r="H12" s="20" t="s">
        <v>15</v>
      </c>
      <c r="I12" s="20" t="s">
        <v>16</v>
      </c>
      <c r="J12" s="99"/>
      <c r="K12" s="245" t="s">
        <v>53</v>
      </c>
      <c r="L12" s="245"/>
      <c r="M12" s="90"/>
      <c r="N12" s="90" t="s">
        <v>238</v>
      </c>
      <c r="O12" s="90"/>
      <c r="P12" s="90"/>
      <c r="Q12" s="90"/>
      <c r="R12" s="90"/>
      <c r="S12" s="90"/>
      <c r="T12" s="90"/>
    </row>
    <row r="13" spans="1:20" ht="16.5" customHeight="1" x14ac:dyDescent="0.35">
      <c r="A13" s="190"/>
      <c r="B13" s="191"/>
      <c r="C13" s="191"/>
      <c r="D13" s="192"/>
      <c r="E13" s="107"/>
      <c r="F13" s="62"/>
      <c r="G13" s="149"/>
      <c r="H13" s="62"/>
      <c r="I13" s="23">
        <f t="shared" ref="I13:I24" si="0">G13*H13</f>
        <v>0</v>
      </c>
      <c r="J13" s="100"/>
      <c r="K13" s="241">
        <f>IF(I3="",500,IF(K4=0,IF(I3-S6&gt;500,"RCF Error",I3-S6),0))</f>
        <v>500</v>
      </c>
      <c r="L13" s="241"/>
      <c r="N13" s="87">
        <f>S6-K4</f>
        <v>0</v>
      </c>
      <c r="Q13" s="131">
        <f t="shared" ref="Q13:Q24" si="1">I13*$F$6</f>
        <v>0</v>
      </c>
      <c r="S13" s="8">
        <f>IF(AND(ISEVEN(Q13*10^2),MOD(Q13*10^2,1)&lt;=0.5),ROUNDDOWN(Q13,2),ROUND(Q13,2))</f>
        <v>0</v>
      </c>
    </row>
    <row r="14" spans="1:20" ht="16.5" customHeight="1" x14ac:dyDescent="0.35">
      <c r="A14" s="190"/>
      <c r="B14" s="191"/>
      <c r="C14" s="191"/>
      <c r="D14" s="192"/>
      <c r="E14" s="69"/>
      <c r="F14" s="63"/>
      <c r="G14" s="147"/>
      <c r="H14" s="63"/>
      <c r="I14" s="23">
        <f t="shared" si="0"/>
        <v>0</v>
      </c>
      <c r="J14" s="100"/>
      <c r="M14" s="91"/>
      <c r="Q14" s="131">
        <f t="shared" si="1"/>
        <v>0</v>
      </c>
      <c r="S14" s="8">
        <f t="shared" ref="S14:S24" si="2">IF(AND(ISEVEN(Q14*10^2),MOD(Q14*10^2,1)&lt;=0.5),ROUNDDOWN(Q14,2),ROUND(Q14,2))</f>
        <v>0</v>
      </c>
    </row>
    <row r="15" spans="1:20" ht="16.5" customHeight="1" x14ac:dyDescent="0.35">
      <c r="A15" s="190"/>
      <c r="B15" s="191"/>
      <c r="C15" s="191"/>
      <c r="D15" s="192"/>
      <c r="E15" s="108"/>
      <c r="F15" s="63"/>
      <c r="G15" s="147"/>
      <c r="H15" s="63"/>
      <c r="I15" s="23">
        <f>G15*H15</f>
        <v>0</v>
      </c>
      <c r="J15" s="100"/>
      <c r="K15" s="264" t="s">
        <v>256</v>
      </c>
      <c r="L15" s="264"/>
      <c r="M15" s="264"/>
      <c r="Q15" s="131">
        <f t="shared" si="1"/>
        <v>0</v>
      </c>
      <c r="S15" s="8">
        <f t="shared" si="2"/>
        <v>0</v>
      </c>
    </row>
    <row r="16" spans="1:20" ht="16.5" customHeight="1" x14ac:dyDescent="0.35">
      <c r="A16" s="190"/>
      <c r="B16" s="191"/>
      <c r="C16" s="191"/>
      <c r="D16" s="192"/>
      <c r="E16" s="69"/>
      <c r="F16" s="63"/>
      <c r="G16" s="147"/>
      <c r="H16" s="63"/>
      <c r="I16" s="23">
        <f>G16*H16</f>
        <v>0</v>
      </c>
      <c r="J16" s="100"/>
      <c r="K16" s="242">
        <f>IF(K13=500,0,IF(K13&gt;=0,500-K13,0))</f>
        <v>0</v>
      </c>
      <c r="L16" s="242"/>
      <c r="M16" s="242"/>
      <c r="Q16" s="131">
        <f t="shared" si="1"/>
        <v>0</v>
      </c>
      <c r="S16" s="8">
        <f t="shared" si="2"/>
        <v>0</v>
      </c>
    </row>
    <row r="17" spans="1:20" ht="16.5" customHeight="1" x14ac:dyDescent="0.35">
      <c r="A17" s="190"/>
      <c r="B17" s="191"/>
      <c r="C17" s="191"/>
      <c r="D17" s="192"/>
      <c r="E17" s="69"/>
      <c r="F17" s="63"/>
      <c r="G17" s="147"/>
      <c r="H17" s="63"/>
      <c r="I17" s="23">
        <f t="shared" si="0"/>
        <v>0</v>
      </c>
      <c r="J17" s="100"/>
      <c r="Q17" s="131">
        <f t="shared" si="1"/>
        <v>0</v>
      </c>
      <c r="S17" s="8">
        <f t="shared" si="2"/>
        <v>0</v>
      </c>
    </row>
    <row r="18" spans="1:20" ht="16.5" customHeight="1" x14ac:dyDescent="0.35">
      <c r="A18" s="190"/>
      <c r="B18" s="191"/>
      <c r="C18" s="191"/>
      <c r="D18" s="192"/>
      <c r="E18" s="69"/>
      <c r="F18" s="63"/>
      <c r="G18" s="147"/>
      <c r="H18" s="63"/>
      <c r="I18" s="23">
        <f t="shared" si="0"/>
        <v>0</v>
      </c>
      <c r="J18" s="100"/>
      <c r="K18" s="240" t="s">
        <v>50</v>
      </c>
      <c r="L18" s="240"/>
      <c r="Q18" s="131">
        <f t="shared" si="1"/>
        <v>0</v>
      </c>
      <c r="S18" s="8">
        <f t="shared" si="2"/>
        <v>0</v>
      </c>
    </row>
    <row r="19" spans="1:20" ht="16.5" customHeight="1" x14ac:dyDescent="0.35">
      <c r="A19" s="190"/>
      <c r="B19" s="191"/>
      <c r="C19" s="191"/>
      <c r="D19" s="192"/>
      <c r="E19" s="69"/>
      <c r="F19" s="63"/>
      <c r="G19" s="147"/>
      <c r="H19" s="63"/>
      <c r="I19" s="23">
        <f t="shared" si="0"/>
        <v>0</v>
      </c>
      <c r="J19" s="100"/>
      <c r="K19" s="241">
        <f>T26+(K16/0.8)+(K4/0.8)</f>
        <v>0</v>
      </c>
      <c r="L19" s="240"/>
      <c r="Q19" s="131">
        <f t="shared" si="1"/>
        <v>0</v>
      </c>
      <c r="S19" s="8">
        <f t="shared" si="2"/>
        <v>0</v>
      </c>
    </row>
    <row r="20" spans="1:20" ht="16.5" customHeight="1" x14ac:dyDescent="0.35">
      <c r="A20" s="190"/>
      <c r="B20" s="191"/>
      <c r="C20" s="191"/>
      <c r="D20" s="192"/>
      <c r="E20" s="69"/>
      <c r="F20" s="63"/>
      <c r="G20" s="147"/>
      <c r="H20" s="63"/>
      <c r="I20" s="23">
        <f t="shared" si="0"/>
        <v>0</v>
      </c>
      <c r="J20" s="100"/>
      <c r="Q20" s="131">
        <f t="shared" si="1"/>
        <v>0</v>
      </c>
      <c r="S20" s="8">
        <f t="shared" si="2"/>
        <v>0</v>
      </c>
    </row>
    <row r="21" spans="1:20" ht="16.5" customHeight="1" x14ac:dyDescent="0.35">
      <c r="A21" s="190"/>
      <c r="B21" s="191"/>
      <c r="C21" s="191"/>
      <c r="D21" s="192"/>
      <c r="E21" s="69"/>
      <c r="F21" s="63"/>
      <c r="G21" s="147"/>
      <c r="H21" s="63"/>
      <c r="I21" s="23">
        <f t="shared" si="0"/>
        <v>0</v>
      </c>
      <c r="J21" s="100"/>
      <c r="K21" s="237" t="s">
        <v>51</v>
      </c>
      <c r="L21" s="237"/>
      <c r="Q21" s="131">
        <f t="shared" si="1"/>
        <v>0</v>
      </c>
      <c r="S21" s="8">
        <f t="shared" si="2"/>
        <v>0</v>
      </c>
    </row>
    <row r="22" spans="1:20" ht="16.5" customHeight="1" x14ac:dyDescent="0.35">
      <c r="A22" s="190"/>
      <c r="B22" s="191"/>
      <c r="C22" s="191"/>
      <c r="D22" s="192"/>
      <c r="E22" s="69"/>
      <c r="F22" s="63"/>
      <c r="G22" s="147"/>
      <c r="H22" s="63"/>
      <c r="I22" s="24">
        <f t="shared" si="0"/>
        <v>0</v>
      </c>
      <c r="J22" s="100"/>
      <c r="K22" s="8" t="s">
        <v>40</v>
      </c>
      <c r="L22" s="8" t="s">
        <v>39</v>
      </c>
      <c r="Q22" s="131">
        <f t="shared" si="1"/>
        <v>0</v>
      </c>
      <c r="S22" s="8">
        <f t="shared" si="2"/>
        <v>0</v>
      </c>
    </row>
    <row r="23" spans="1:20" ht="16.5" customHeight="1" x14ac:dyDescent="0.35">
      <c r="A23" s="190"/>
      <c r="B23" s="191"/>
      <c r="C23" s="191"/>
      <c r="D23" s="192"/>
      <c r="E23" s="69"/>
      <c r="F23" s="63"/>
      <c r="G23" s="147"/>
      <c r="H23" s="63"/>
      <c r="I23" s="23">
        <f t="shared" si="0"/>
        <v>0</v>
      </c>
      <c r="J23" s="100"/>
      <c r="K23" s="87">
        <f>SUM(F13:F24)</f>
        <v>0</v>
      </c>
      <c r="L23" s="87">
        <f>SUM(I13:I24)</f>
        <v>0</v>
      </c>
      <c r="Q23" s="131">
        <f t="shared" si="1"/>
        <v>0</v>
      </c>
      <c r="S23" s="8">
        <f t="shared" si="2"/>
        <v>0</v>
      </c>
    </row>
    <row r="24" spans="1:20" ht="16.5" customHeight="1" thickBot="1" x14ac:dyDescent="0.4">
      <c r="A24" s="228"/>
      <c r="B24" s="229"/>
      <c r="C24" s="229"/>
      <c r="D24" s="230"/>
      <c r="E24" s="109"/>
      <c r="F24" s="65"/>
      <c r="G24" s="64"/>
      <c r="H24" s="65"/>
      <c r="I24" s="25">
        <f t="shared" si="0"/>
        <v>0</v>
      </c>
      <c r="J24" s="100"/>
      <c r="Q24" s="131">
        <f t="shared" si="1"/>
        <v>0</v>
      </c>
      <c r="S24" s="8">
        <f t="shared" si="2"/>
        <v>0</v>
      </c>
    </row>
    <row r="25" spans="1:20" ht="24" customHeight="1" thickTop="1" x14ac:dyDescent="0.35">
      <c r="A25" s="251" t="s">
        <v>217</v>
      </c>
      <c r="B25" s="251"/>
      <c r="C25" s="251" t="s">
        <v>218</v>
      </c>
      <c r="D25" s="251"/>
      <c r="E25" s="251" t="s">
        <v>243</v>
      </c>
      <c r="F25" s="251"/>
      <c r="G25" s="26" t="s">
        <v>29</v>
      </c>
      <c r="H25" s="27" t="s">
        <v>22</v>
      </c>
      <c r="I25" s="144" t="s">
        <v>19</v>
      </c>
      <c r="J25" s="101"/>
      <c r="K25" s="239" t="s">
        <v>21</v>
      </c>
      <c r="L25" s="239"/>
      <c r="M25" s="239" t="s">
        <v>23</v>
      </c>
      <c r="N25" s="239"/>
      <c r="O25" s="239" t="s">
        <v>20</v>
      </c>
      <c r="P25" s="239"/>
      <c r="Q25" s="239" t="s">
        <v>29</v>
      </c>
      <c r="R25" s="239"/>
      <c r="S25" s="143" t="s">
        <v>22</v>
      </c>
      <c r="T25" s="140" t="s">
        <v>52</v>
      </c>
    </row>
    <row r="26" spans="1:20" ht="18.649999999999999" customHeight="1" thickBot="1" x14ac:dyDescent="0.4">
      <c r="A26" s="261">
        <f>K26</f>
        <v>0</v>
      </c>
      <c r="B26" s="261"/>
      <c r="C26" s="261">
        <f>M26</f>
        <v>0</v>
      </c>
      <c r="D26" s="261"/>
      <c r="E26" s="261">
        <f>O26</f>
        <v>0</v>
      </c>
      <c r="F26" s="261"/>
      <c r="G26" s="145">
        <f>Q26</f>
        <v>0</v>
      </c>
      <c r="H26" s="145">
        <f>S26</f>
        <v>0</v>
      </c>
      <c r="I26" s="145">
        <f>T26</f>
        <v>0</v>
      </c>
      <c r="J26" s="94"/>
      <c r="K26" s="244">
        <f>IF(S6=0,0,T26*0.2)</f>
        <v>0</v>
      </c>
      <c r="L26" s="245"/>
      <c r="M26" s="244">
        <f>IF(S6=0,IF((T26-K13)&gt;0,T26-K13,0),T26-(Q26+O26+K26))</f>
        <v>0</v>
      </c>
      <c r="N26" s="245"/>
      <c r="O26" s="244">
        <f>IF(S6=0,0,IF(Q26=K13,IF(K19&lt;(625+N13+(N13/0.8)*0.2),((K19-((K16+K4)+((K16+K4)/0.8)*0.2))*0.8)-Q26,N13),0))</f>
        <v>0</v>
      </c>
      <c r="P26" s="244"/>
      <c r="Q26" s="244">
        <f>IF(S6=0,IF(T26&gt;K13,K13,T26),IF(T26*0.8&gt;K13,K13,T26*0.8))</f>
        <v>0</v>
      </c>
      <c r="R26" s="244"/>
      <c r="S26" s="142">
        <f>SUM(S13:S24)</f>
        <v>0</v>
      </c>
      <c r="T26" s="142">
        <f>K23+L23+S26</f>
        <v>0</v>
      </c>
    </row>
    <row r="27" spans="1:20" ht="5.9" customHeight="1" thickTop="1" thickBot="1" x14ac:dyDescent="0.4">
      <c r="A27" s="17"/>
      <c r="B27" s="17"/>
      <c r="C27" s="17"/>
      <c r="D27" s="17"/>
      <c r="E27" s="17"/>
      <c r="F27" s="17"/>
      <c r="G27" s="17"/>
      <c r="H27" s="17"/>
      <c r="I27" s="30"/>
      <c r="J27" s="97"/>
    </row>
    <row r="28" spans="1:20" ht="15" customHeight="1" thickTop="1" thickBot="1" x14ac:dyDescent="0.4">
      <c r="A28" s="248" t="s">
        <v>24</v>
      </c>
      <c r="B28" s="248"/>
      <c r="C28" s="248"/>
      <c r="D28" s="248"/>
      <c r="E28" s="31" t="s">
        <v>242</v>
      </c>
      <c r="F28" s="31" t="s">
        <v>13</v>
      </c>
      <c r="G28" s="32" t="s">
        <v>14</v>
      </c>
      <c r="H28" s="31" t="s">
        <v>15</v>
      </c>
      <c r="I28" s="31" t="s">
        <v>16</v>
      </c>
      <c r="J28" s="99"/>
      <c r="K28" s="240" t="s">
        <v>50</v>
      </c>
      <c r="L28" s="240"/>
    </row>
    <row r="29" spans="1:20" ht="16.5" customHeight="1" x14ac:dyDescent="0.35">
      <c r="A29" s="190"/>
      <c r="B29" s="191"/>
      <c r="C29" s="191"/>
      <c r="D29" s="192"/>
      <c r="E29" s="107"/>
      <c r="F29" s="62"/>
      <c r="G29" s="149"/>
      <c r="H29" s="62"/>
      <c r="I29" s="23">
        <f t="shared" ref="I29:I34" si="3">G29*H29</f>
        <v>0</v>
      </c>
      <c r="J29" s="100"/>
      <c r="K29" s="241">
        <f>T26+T36+(K16/0.8)+(K4/0.8)</f>
        <v>0</v>
      </c>
      <c r="L29" s="240"/>
      <c r="O29" s="91" t="s">
        <v>247</v>
      </c>
      <c r="Q29" s="132">
        <f>I29*$F$6</f>
        <v>0</v>
      </c>
      <c r="S29" s="133">
        <f>IF(AND(ISEVEN(Q29*10^2),MOD(Q29*10^2,1)&lt;=0.5),ROUNDDOWN(Q29,2),ROUND(Q29,2))</f>
        <v>0</v>
      </c>
    </row>
    <row r="30" spans="1:20" ht="16.5" customHeight="1" x14ac:dyDescent="0.35">
      <c r="A30" s="190"/>
      <c r="B30" s="191"/>
      <c r="C30" s="191"/>
      <c r="D30" s="192"/>
      <c r="E30" s="69"/>
      <c r="F30" s="106"/>
      <c r="G30" s="147"/>
      <c r="H30" s="63"/>
      <c r="I30" s="23">
        <f t="shared" si="3"/>
        <v>0</v>
      </c>
      <c r="J30" s="100"/>
      <c r="M30" s="87"/>
      <c r="O30" s="8">
        <f>IF(OR(ROUND(H41,2)&lt;N13,H41="Error"),"Fix",)</f>
        <v>0</v>
      </c>
      <c r="P30" s="87"/>
      <c r="Q30" s="132">
        <f t="shared" ref="Q30:Q34" si="4">I30*$F$6</f>
        <v>0</v>
      </c>
      <c r="S30" s="133">
        <f t="shared" ref="S30:S34" si="5">IF(AND(ISEVEN(Q30*10^2),MOD(Q30*10^2,1)&lt;=0.5),ROUNDDOWN(Q30,2),ROUND(Q30,2))</f>
        <v>0</v>
      </c>
    </row>
    <row r="31" spans="1:20" ht="16.5" customHeight="1" x14ac:dyDescent="0.35">
      <c r="A31" s="190"/>
      <c r="B31" s="191"/>
      <c r="C31" s="191"/>
      <c r="D31" s="192"/>
      <c r="E31" s="69"/>
      <c r="F31" s="63"/>
      <c r="G31" s="147"/>
      <c r="H31" s="63"/>
      <c r="I31" s="23">
        <f t="shared" si="3"/>
        <v>0</v>
      </c>
      <c r="J31" s="100"/>
      <c r="K31" s="237" t="s">
        <v>55</v>
      </c>
      <c r="L31" s="237"/>
      <c r="M31" s="243" t="s">
        <v>246</v>
      </c>
      <c r="N31" s="243"/>
      <c r="Q31" s="132">
        <f t="shared" si="4"/>
        <v>0</v>
      </c>
      <c r="S31" s="133">
        <f t="shared" si="5"/>
        <v>0</v>
      </c>
    </row>
    <row r="32" spans="1:20" ht="16.5" customHeight="1" x14ac:dyDescent="0.35">
      <c r="A32" s="190"/>
      <c r="B32" s="191"/>
      <c r="C32" s="191"/>
      <c r="D32" s="192"/>
      <c r="E32" s="69"/>
      <c r="F32" s="63"/>
      <c r="G32" s="147"/>
      <c r="H32" s="63"/>
      <c r="I32" s="23">
        <f t="shared" si="3"/>
        <v>0</v>
      </c>
      <c r="J32" s="100"/>
      <c r="K32" s="8" t="s">
        <v>40</v>
      </c>
      <c r="L32" s="8" t="s">
        <v>39</v>
      </c>
      <c r="M32" s="240" t="s">
        <v>235</v>
      </c>
      <c r="N32" s="240"/>
      <c r="O32" s="240" t="s">
        <v>236</v>
      </c>
      <c r="P32" s="240"/>
      <c r="Q32" s="132">
        <f t="shared" si="4"/>
        <v>0</v>
      </c>
      <c r="S32" s="133">
        <f t="shared" si="5"/>
        <v>0</v>
      </c>
    </row>
    <row r="33" spans="1:20" ht="16.5" customHeight="1" x14ac:dyDescent="0.35">
      <c r="A33" s="190"/>
      <c r="B33" s="191"/>
      <c r="C33" s="191"/>
      <c r="D33" s="192"/>
      <c r="E33" s="69"/>
      <c r="F33" s="63"/>
      <c r="G33" s="147"/>
      <c r="H33" s="63"/>
      <c r="I33" s="23">
        <f t="shared" si="3"/>
        <v>0</v>
      </c>
      <c r="J33" s="100"/>
      <c r="K33" s="87">
        <f>SUM(F29:F34)</f>
        <v>0</v>
      </c>
      <c r="L33" s="87">
        <f>SUM(I29:I34)</f>
        <v>0</v>
      </c>
      <c r="M33" s="241">
        <f>IF((Q41-((K13*100)/80))*0.8&gt;S6,S6,(Q41-((K13*100)/80))*0.8)</f>
        <v>-500</v>
      </c>
      <c r="N33" s="240"/>
      <c r="O33" s="241">
        <f>IF(T36&gt;0,IF(M33&lt;0,,IF(ROUND(M33,2)=N13,0,M33)),)</f>
        <v>0</v>
      </c>
      <c r="P33" s="241"/>
      <c r="Q33" s="132">
        <f t="shared" si="4"/>
        <v>0</v>
      </c>
      <c r="S33" s="133">
        <f t="shared" si="5"/>
        <v>0</v>
      </c>
    </row>
    <row r="34" spans="1:20" ht="16.5" customHeight="1" thickBot="1" x14ac:dyDescent="0.4">
      <c r="A34" s="228"/>
      <c r="B34" s="229"/>
      <c r="C34" s="229"/>
      <c r="D34" s="230"/>
      <c r="E34" s="109"/>
      <c r="F34" s="65"/>
      <c r="G34" s="64"/>
      <c r="H34" s="65"/>
      <c r="I34" s="25">
        <f t="shared" si="3"/>
        <v>0</v>
      </c>
      <c r="J34" s="100"/>
      <c r="Q34" s="132">
        <f t="shared" si="4"/>
        <v>0</v>
      </c>
      <c r="S34" s="133">
        <f t="shared" si="5"/>
        <v>0</v>
      </c>
    </row>
    <row r="35" spans="1:20" ht="26.25" customHeight="1" thickTop="1" x14ac:dyDescent="0.35">
      <c r="A35" s="251" t="s">
        <v>237</v>
      </c>
      <c r="B35" s="251"/>
      <c r="C35" s="251" t="s">
        <v>241</v>
      </c>
      <c r="D35" s="251"/>
      <c r="E35" s="251" t="s">
        <v>243</v>
      </c>
      <c r="F35" s="251"/>
      <c r="G35" s="26" t="s">
        <v>29</v>
      </c>
      <c r="H35" s="27" t="s">
        <v>22</v>
      </c>
      <c r="I35" s="144" t="s">
        <v>25</v>
      </c>
      <c r="J35" s="101"/>
      <c r="K35" s="239" t="s">
        <v>21</v>
      </c>
      <c r="L35" s="239"/>
      <c r="M35" s="239" t="s">
        <v>23</v>
      </c>
      <c r="N35" s="239"/>
      <c r="O35" s="239" t="s">
        <v>20</v>
      </c>
      <c r="P35" s="239"/>
      <c r="Q35" s="239" t="s">
        <v>29</v>
      </c>
      <c r="R35" s="239"/>
      <c r="S35" s="143" t="s">
        <v>22</v>
      </c>
      <c r="T35" s="140" t="s">
        <v>54</v>
      </c>
    </row>
    <row r="36" spans="1:20" ht="18.649999999999999" customHeight="1" thickBot="1" x14ac:dyDescent="0.4">
      <c r="A36" s="261">
        <f>K36</f>
        <v>0</v>
      </c>
      <c r="B36" s="261"/>
      <c r="C36" s="252">
        <f>M36</f>
        <v>0</v>
      </c>
      <c r="D36" s="253"/>
      <c r="E36" s="261">
        <f>O36</f>
        <v>0</v>
      </c>
      <c r="F36" s="261"/>
      <c r="G36" s="145">
        <f>Q36</f>
        <v>0</v>
      </c>
      <c r="H36" s="145">
        <f>S36</f>
        <v>0</v>
      </c>
      <c r="I36" s="145">
        <f>T36</f>
        <v>0</v>
      </c>
      <c r="J36" s="94"/>
      <c r="K36" s="242">
        <f>IF(S6=0,0,T36*0.2)</f>
        <v>0</v>
      </c>
      <c r="L36" s="242"/>
      <c r="M36" s="242">
        <f>IF(AND(S6=0,T36&gt;0),IF((T36-(K13-Q26))&gt;0,T36-(K13-Q26),0),T36-(Q36+O36+K36))</f>
        <v>0</v>
      </c>
      <c r="N36" s="242"/>
      <c r="O36" s="242">
        <f>IF(S6=0,0,IF(Q26+Q36=K13,IF(K29&lt;(625+N13+(N13/0.8)*0.2),((K29-(625+O26+(O26/0.8)*0.2))*0.8)-K4,N13-O26),0))</f>
        <v>0</v>
      </c>
      <c r="P36" s="242"/>
      <c r="Q36" s="242">
        <f>IF(AND(S6=0,T36&gt;0),IF(K13-Q26&gt;T36,T36,K13-Q26),IF(T36*0.8&gt;K13-Q26, K13-Q26,T36*0.8))</f>
        <v>0</v>
      </c>
      <c r="R36" s="242"/>
      <c r="S36" s="141">
        <f>SUM(S29:S34)</f>
        <v>0</v>
      </c>
      <c r="T36" s="141">
        <f>K33+L33+S36</f>
        <v>0</v>
      </c>
    </row>
    <row r="37" spans="1:20" ht="5.9" customHeight="1" thickTop="1" thickBot="1" x14ac:dyDescent="0.4">
      <c r="A37" s="71"/>
      <c r="B37" s="71"/>
      <c r="C37" s="34"/>
      <c r="D37" s="34"/>
      <c r="E37" s="34"/>
      <c r="F37" s="71"/>
      <c r="G37" s="71"/>
      <c r="H37" s="34"/>
      <c r="I37" s="34"/>
      <c r="J37" s="102"/>
    </row>
    <row r="38" spans="1:20" ht="21.65" customHeight="1" thickTop="1" thickBot="1" x14ac:dyDescent="0.4">
      <c r="A38" s="258" t="s">
        <v>240</v>
      </c>
      <c r="B38" s="258"/>
      <c r="C38" s="258"/>
      <c r="D38" s="258"/>
      <c r="E38" s="258"/>
      <c r="F38" s="258"/>
      <c r="G38" s="258"/>
      <c r="H38" s="258"/>
      <c r="I38" s="258"/>
      <c r="J38" s="92"/>
      <c r="O38" s="8">
        <f>IF(Q26+Q36=K13,IF(K29&lt;(625+N13+(N13/0.8)*0.2),1,2),0)</f>
        <v>0</v>
      </c>
    </row>
    <row r="39" spans="1:20" ht="22.5" customHeight="1" thickTop="1" x14ac:dyDescent="0.35">
      <c r="A39" s="262" t="s">
        <v>13</v>
      </c>
      <c r="B39" s="265" t="s">
        <v>16</v>
      </c>
      <c r="C39" s="246" t="s">
        <v>22</v>
      </c>
      <c r="D39" s="249" t="s">
        <v>216</v>
      </c>
      <c r="E39" s="256" t="s">
        <v>221</v>
      </c>
      <c r="F39" s="257"/>
      <c r="G39" s="249" t="s">
        <v>220</v>
      </c>
      <c r="H39" s="259" t="s">
        <v>243</v>
      </c>
      <c r="I39" s="193" t="s">
        <v>56</v>
      </c>
      <c r="J39" s="101"/>
      <c r="M39" s="237" t="s">
        <v>30</v>
      </c>
      <c r="N39" s="237"/>
      <c r="S39" s="238" t="s">
        <v>33</v>
      </c>
      <c r="T39" s="238" t="s">
        <v>32</v>
      </c>
    </row>
    <row r="40" spans="1:20" ht="13.5" customHeight="1" thickBot="1" x14ac:dyDescent="0.4">
      <c r="A40" s="263"/>
      <c r="B40" s="266"/>
      <c r="C40" s="247"/>
      <c r="D40" s="250"/>
      <c r="E40" s="254" t="s">
        <v>219</v>
      </c>
      <c r="F40" s="255"/>
      <c r="G40" s="250"/>
      <c r="H40" s="260"/>
      <c r="I40" s="194"/>
      <c r="J40" s="103"/>
      <c r="M40" s="90" t="s">
        <v>40</v>
      </c>
      <c r="N40" s="90" t="s">
        <v>39</v>
      </c>
      <c r="P40" s="90" t="s">
        <v>31</v>
      </c>
      <c r="Q40" s="90" t="s">
        <v>30</v>
      </c>
      <c r="S40" s="238"/>
      <c r="T40" s="238"/>
    </row>
    <row r="41" spans="1:20" ht="14.25" customHeight="1" x14ac:dyDescent="0.35">
      <c r="A41" s="196">
        <f>M41</f>
        <v>0</v>
      </c>
      <c r="B41" s="198">
        <f>N41</f>
        <v>0</v>
      </c>
      <c r="C41" s="200">
        <f>P41</f>
        <v>0</v>
      </c>
      <c r="D41" s="222">
        <f>Q41</f>
        <v>0</v>
      </c>
      <c r="E41" s="224">
        <f>K26+K36</f>
        <v>0</v>
      </c>
      <c r="F41" s="226">
        <f>M26+M36</f>
        <v>0</v>
      </c>
      <c r="G41" s="222">
        <f>S41</f>
        <v>0</v>
      </c>
      <c r="H41" s="220">
        <f>IF(I41="Error","Error",O26+O36)</f>
        <v>0</v>
      </c>
      <c r="I41" s="218" t="str">
        <f>T41</f>
        <v/>
      </c>
      <c r="J41" s="94"/>
      <c r="M41" s="141">
        <f>K23+K33</f>
        <v>0</v>
      </c>
      <c r="N41" s="141">
        <f>L23+L33</f>
        <v>0</v>
      </c>
      <c r="O41" s="90"/>
      <c r="P41" s="141">
        <f>S26+S36</f>
        <v>0</v>
      </c>
      <c r="Q41" s="141">
        <f>T26+T36</f>
        <v>0</v>
      </c>
      <c r="S41" s="141">
        <f>K26+M26+K36+M36</f>
        <v>0</v>
      </c>
      <c r="T41" s="141" t="str">
        <f>IF(K13="RCF Error",K13,IF(Q26+O26+O36+Q36=0,"",IF(I7="","Date Required",Q26+O26+O36+Q36)))</f>
        <v/>
      </c>
    </row>
    <row r="42" spans="1:20" ht="9" customHeight="1" thickBot="1" x14ac:dyDescent="0.4">
      <c r="A42" s="197"/>
      <c r="B42" s="199"/>
      <c r="C42" s="201"/>
      <c r="D42" s="223"/>
      <c r="E42" s="225"/>
      <c r="F42" s="227"/>
      <c r="G42" s="223"/>
      <c r="H42" s="221"/>
      <c r="I42" s="219"/>
      <c r="J42" s="94"/>
    </row>
  </sheetData>
  <sheetProtection algorithmName="SHA-512" hashValue="+NLIHD2N9dIYJRTiCWaCNTOWs/cx6ILbM+zvittUbU7+4aln7cOGxmf6c5GTqMW0hEUlfjU2COfaTBhVHivlPw==" saltValue="GZxEUQ4S70Xj1bZHd56FxQ==" spinCount="100000" sheet="1" objects="1" scenarios="1"/>
  <dataConsolidate/>
  <mergeCells count="108">
    <mergeCell ref="A1:I1"/>
    <mergeCell ref="B2:C2"/>
    <mergeCell ref="D2:E2"/>
    <mergeCell ref="F2:I2"/>
    <mergeCell ref="B3:C3"/>
    <mergeCell ref="D3:E3"/>
    <mergeCell ref="G3:H3"/>
    <mergeCell ref="B6:C6"/>
    <mergeCell ref="D6:E6"/>
    <mergeCell ref="H6:I6"/>
    <mergeCell ref="B7:D7"/>
    <mergeCell ref="F7:G7"/>
    <mergeCell ref="A8:E9"/>
    <mergeCell ref="F8:I8"/>
    <mergeCell ref="F9:I9"/>
    <mergeCell ref="B4:C4"/>
    <mergeCell ref="D4:E4"/>
    <mergeCell ref="F4:I4"/>
    <mergeCell ref="B5:C5"/>
    <mergeCell ref="D5:E5"/>
    <mergeCell ref="H5:I5"/>
    <mergeCell ref="A14:D14"/>
    <mergeCell ref="A15:D15"/>
    <mergeCell ref="K15:M15"/>
    <mergeCell ref="A16:D16"/>
    <mergeCell ref="K16:M16"/>
    <mergeCell ref="A17:D17"/>
    <mergeCell ref="A11:I11"/>
    <mergeCell ref="K11:N11"/>
    <mergeCell ref="A12:D12"/>
    <mergeCell ref="K12:L12"/>
    <mergeCell ref="A13:D13"/>
    <mergeCell ref="K13:L13"/>
    <mergeCell ref="A22:D22"/>
    <mergeCell ref="A23:D23"/>
    <mergeCell ref="A24:D24"/>
    <mergeCell ref="A25:B25"/>
    <mergeCell ref="C25:D25"/>
    <mergeCell ref="E25:F25"/>
    <mergeCell ref="A18:D18"/>
    <mergeCell ref="K18:L18"/>
    <mergeCell ref="A19:D19"/>
    <mergeCell ref="K19:L19"/>
    <mergeCell ref="A20:D20"/>
    <mergeCell ref="A21:D21"/>
    <mergeCell ref="K21:L21"/>
    <mergeCell ref="K25:L25"/>
    <mergeCell ref="M25:N25"/>
    <mergeCell ref="O25:P25"/>
    <mergeCell ref="Q25:R25"/>
    <mergeCell ref="A26:B26"/>
    <mergeCell ref="C26:D26"/>
    <mergeCell ref="E26:F26"/>
    <mergeCell ref="K26:L26"/>
    <mergeCell ref="M26:N26"/>
    <mergeCell ref="O26:P26"/>
    <mergeCell ref="A31:D31"/>
    <mergeCell ref="K31:L31"/>
    <mergeCell ref="M31:N31"/>
    <mergeCell ref="A32:D32"/>
    <mergeCell ref="M32:N32"/>
    <mergeCell ref="O32:P32"/>
    <mergeCell ref="Q26:R26"/>
    <mergeCell ref="A28:D28"/>
    <mergeCell ref="K28:L28"/>
    <mergeCell ref="A29:D29"/>
    <mergeCell ref="K29:L29"/>
    <mergeCell ref="A30:D30"/>
    <mergeCell ref="Q35:R35"/>
    <mergeCell ref="A36:B36"/>
    <mergeCell ref="C36:D36"/>
    <mergeCell ref="E36:F36"/>
    <mergeCell ref="K36:L36"/>
    <mergeCell ref="M36:N36"/>
    <mergeCell ref="O36:P36"/>
    <mergeCell ref="Q36:R36"/>
    <mergeCell ref="A33:D33"/>
    <mergeCell ref="M33:N33"/>
    <mergeCell ref="O33:P33"/>
    <mergeCell ref="A34:D34"/>
    <mergeCell ref="A35:B35"/>
    <mergeCell ref="C35:D35"/>
    <mergeCell ref="E35:F35"/>
    <mergeCell ref="K35:L35"/>
    <mergeCell ref="M35:N35"/>
    <mergeCell ref="O35:P35"/>
    <mergeCell ref="A38:I38"/>
    <mergeCell ref="A39:A40"/>
    <mergeCell ref="B39:B40"/>
    <mergeCell ref="C39:C40"/>
    <mergeCell ref="D39:D40"/>
    <mergeCell ref="E39:F39"/>
    <mergeCell ref="G39:G40"/>
    <mergeCell ref="H39:H40"/>
    <mergeCell ref="I39:I40"/>
    <mergeCell ref="G41:G42"/>
    <mergeCell ref="H41:H42"/>
    <mergeCell ref="I41:I42"/>
    <mergeCell ref="M39:N39"/>
    <mergeCell ref="S39:S40"/>
    <mergeCell ref="T39:T40"/>
    <mergeCell ref="E40:F40"/>
    <mergeCell ref="A41:A42"/>
    <mergeCell ref="B41:B42"/>
    <mergeCell ref="C41:C42"/>
    <mergeCell ref="D41:D42"/>
    <mergeCell ref="E41:E42"/>
    <mergeCell ref="F41:F42"/>
  </mergeCells>
  <conditionalFormatting sqref="E13:E24 E29:E34">
    <cfRule type="expression" dxfId="1" priority="2">
      <formula>TRUNC(E13*10) &lt;&gt; E13*10</formula>
    </cfRule>
  </conditionalFormatting>
  <conditionalFormatting sqref="F13:F24 F29:F34">
    <cfRule type="expression" dxfId="0" priority="1">
      <formula>$B$6*E13&lt;&gt;F13</formula>
    </cfRule>
  </conditionalFormatting>
  <dataValidations count="3">
    <dataValidation type="whole" allowBlank="1" showInputMessage="1" showErrorMessage="1" sqref="B2:C2" xr:uid="{16A5AF74-ADC0-4565-91FE-4EFC671EADCF}">
      <formula1>1000000</formula1>
      <formula2>9999999</formula2>
    </dataValidation>
    <dataValidation type="decimal" showInputMessage="1" showErrorMessage="1" sqref="I3" xr:uid="{949AC5A5-87E4-4372-B7A6-B5B513BFEAB7}">
      <formula1>0</formula1>
      <formula2>S6+500</formula2>
    </dataValidation>
    <dataValidation type="date" allowBlank="1" showInputMessage="1" showErrorMessage="1" sqref="I7" xr:uid="{3CD770CA-C2F0-450F-B20C-6D2A45E72BA2}">
      <formula1>40179</formula1>
      <formula2>TODAY()</formula2>
    </dataValidation>
  </dataValidations>
  <pageMargins left="0.5" right="0.5" top="0.6" bottom="0.4" header="0.2" footer="0.2"/>
  <pageSetup orientation="portrait" r:id="rId1"/>
  <headerFooter differentOddEven="1">
    <oddHeader>&amp;L&amp;"Times New Roman,Bold"&amp;14&amp;K000000Repair Notification Form&amp;C&amp;"Times New Roman,Bold"&amp;14Fax To: 888.336.8334&amp;R&amp;"Times New Roman,Bold"&amp;14E-Mail: ERNF@dca.ca.gov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73CF470-B80F-4CC8-8321-B33DF67DCCEB}">
          <x14:formula1>
            <xm:f>Dropdown!$A$2:$A$164</xm:f>
          </x14:formula1>
          <xm:sqref>A13:D24 A29:D34</xm:sqref>
        </x14:dataValidation>
        <x14:dataValidation type="list" allowBlank="1" showInputMessage="1" xr:uid="{03D11407-82C9-4D20-B577-7951E799E434}">
          <x14:formula1>
            <xm:f>Dropdown!$C$2:$C$10</xm:f>
          </x14:formula1>
          <xm:sqref>H5:I5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2118-6FE8-4534-B040-BC622484458A}">
  <sheetPr codeName="Sheet3"/>
  <dimension ref="A2:C164"/>
  <sheetViews>
    <sheetView workbookViewId="0"/>
  </sheetViews>
  <sheetFormatPr defaultRowHeight="14.5" x14ac:dyDescent="0.35"/>
  <cols>
    <col min="1" max="1" width="41.54296875" bestFit="1" customWidth="1"/>
    <col min="3" max="3" width="36.453125" bestFit="1" customWidth="1"/>
  </cols>
  <sheetData>
    <row r="2" spans="1:3" x14ac:dyDescent="0.35">
      <c r="A2" s="2" t="s">
        <v>214</v>
      </c>
      <c r="C2" s="3" t="s">
        <v>58</v>
      </c>
    </row>
    <row r="3" spans="1:3" x14ac:dyDescent="0.35">
      <c r="A3" s="1" t="s">
        <v>222</v>
      </c>
      <c r="C3" s="3" t="s">
        <v>60</v>
      </c>
    </row>
    <row r="4" spans="1:3" x14ac:dyDescent="0.35">
      <c r="A4" s="1" t="s">
        <v>223</v>
      </c>
      <c r="C4" s="3" t="s">
        <v>62</v>
      </c>
    </row>
    <row r="5" spans="1:3" x14ac:dyDescent="0.35">
      <c r="A5" s="1" t="s">
        <v>224</v>
      </c>
      <c r="C5" s="3" t="s">
        <v>64</v>
      </c>
    </row>
    <row r="6" spans="1:3" x14ac:dyDescent="0.35">
      <c r="A6" s="2" t="s">
        <v>215</v>
      </c>
      <c r="C6" s="3" t="s">
        <v>66</v>
      </c>
    </row>
    <row r="7" spans="1:3" x14ac:dyDescent="0.35">
      <c r="A7" s="1" t="s">
        <v>225</v>
      </c>
      <c r="C7" s="3" t="s">
        <v>68</v>
      </c>
    </row>
    <row r="8" spans="1:3" x14ac:dyDescent="0.35">
      <c r="A8" s="1" t="s">
        <v>226</v>
      </c>
      <c r="C8" s="3" t="s">
        <v>70</v>
      </c>
    </row>
    <row r="9" spans="1:3" x14ac:dyDescent="0.35">
      <c r="A9" s="1" t="s">
        <v>227</v>
      </c>
      <c r="C9" s="3" t="s">
        <v>72</v>
      </c>
    </row>
    <row r="10" spans="1:3" x14ac:dyDescent="0.35">
      <c r="A10" s="1" t="s">
        <v>228</v>
      </c>
      <c r="C10" s="3" t="s">
        <v>74</v>
      </c>
    </row>
    <row r="11" spans="1:3" x14ac:dyDescent="0.35">
      <c r="A11" s="1" t="s">
        <v>229</v>
      </c>
    </row>
    <row r="12" spans="1:3" x14ac:dyDescent="0.35">
      <c r="A12" s="1" t="s">
        <v>230</v>
      </c>
    </row>
    <row r="13" spans="1:3" x14ac:dyDescent="0.35">
      <c r="A13" s="1" t="s">
        <v>231</v>
      </c>
      <c r="C13" s="7"/>
    </row>
    <row r="14" spans="1:3" x14ac:dyDescent="0.35">
      <c r="A14" s="1" t="s">
        <v>232</v>
      </c>
    </row>
    <row r="15" spans="1:3" x14ac:dyDescent="0.35">
      <c r="A15" s="1" t="s">
        <v>233</v>
      </c>
    </row>
    <row r="16" spans="1:3" x14ac:dyDescent="0.35">
      <c r="A16" s="1" t="s">
        <v>234</v>
      </c>
    </row>
    <row r="17" spans="1:1" x14ac:dyDescent="0.35">
      <c r="A17" s="2" t="s">
        <v>57</v>
      </c>
    </row>
    <row r="18" spans="1:1" x14ac:dyDescent="0.35">
      <c r="A18" s="4" t="s">
        <v>59</v>
      </c>
    </row>
    <row r="19" spans="1:1" x14ac:dyDescent="0.35">
      <c r="A19" s="4" t="s">
        <v>61</v>
      </c>
    </row>
    <row r="20" spans="1:1" x14ac:dyDescent="0.35">
      <c r="A20" s="4" t="s">
        <v>63</v>
      </c>
    </row>
    <row r="21" spans="1:1" x14ac:dyDescent="0.35">
      <c r="A21" s="4" t="s">
        <v>65</v>
      </c>
    </row>
    <row r="22" spans="1:1" x14ac:dyDescent="0.35">
      <c r="A22" s="4" t="s">
        <v>67</v>
      </c>
    </row>
    <row r="23" spans="1:1" x14ac:dyDescent="0.35">
      <c r="A23" s="4" t="s">
        <v>69</v>
      </c>
    </row>
    <row r="24" spans="1:1" x14ac:dyDescent="0.35">
      <c r="A24" s="4" t="s">
        <v>71</v>
      </c>
    </row>
    <row r="25" spans="1:1" x14ac:dyDescent="0.35">
      <c r="A25" s="2" t="s">
        <v>73</v>
      </c>
    </row>
    <row r="26" spans="1:1" x14ac:dyDescent="0.35">
      <c r="A26" s="4" t="s">
        <v>75</v>
      </c>
    </row>
    <row r="27" spans="1:1" x14ac:dyDescent="0.35">
      <c r="A27" s="4" t="s">
        <v>76</v>
      </c>
    </row>
    <row r="28" spans="1:1" x14ac:dyDescent="0.35">
      <c r="A28" s="4" t="s">
        <v>77</v>
      </c>
    </row>
    <row r="29" spans="1:1" x14ac:dyDescent="0.35">
      <c r="A29" s="4" t="s">
        <v>78</v>
      </c>
    </row>
    <row r="30" spans="1:1" x14ac:dyDescent="0.35">
      <c r="A30" s="4" t="s">
        <v>79</v>
      </c>
    </row>
    <row r="31" spans="1:1" x14ac:dyDescent="0.35">
      <c r="A31" s="4" t="s">
        <v>80</v>
      </c>
    </row>
    <row r="32" spans="1:1" x14ac:dyDescent="0.35">
      <c r="A32" s="4" t="s">
        <v>81</v>
      </c>
    </row>
    <row r="33" spans="1:1" x14ac:dyDescent="0.35">
      <c r="A33" s="4" t="s">
        <v>82</v>
      </c>
    </row>
    <row r="34" spans="1:1" x14ac:dyDescent="0.35">
      <c r="A34" s="4" t="s">
        <v>83</v>
      </c>
    </row>
    <row r="35" spans="1:1" x14ac:dyDescent="0.35">
      <c r="A35" s="4" t="s">
        <v>84</v>
      </c>
    </row>
    <row r="36" spans="1:1" x14ac:dyDescent="0.35">
      <c r="A36" s="4" t="s">
        <v>85</v>
      </c>
    </row>
    <row r="37" spans="1:1" x14ac:dyDescent="0.35">
      <c r="A37" s="4" t="s">
        <v>86</v>
      </c>
    </row>
    <row r="38" spans="1:1" x14ac:dyDescent="0.35">
      <c r="A38" s="2" t="s">
        <v>87</v>
      </c>
    </row>
    <row r="39" spans="1:1" x14ac:dyDescent="0.35">
      <c r="A39" s="4" t="s">
        <v>88</v>
      </c>
    </row>
    <row r="40" spans="1:1" x14ac:dyDescent="0.35">
      <c r="A40" s="4" t="s">
        <v>89</v>
      </c>
    </row>
    <row r="41" spans="1:1" x14ac:dyDescent="0.35">
      <c r="A41" s="4" t="s">
        <v>90</v>
      </c>
    </row>
    <row r="42" spans="1:1" x14ac:dyDescent="0.35">
      <c r="A42" s="4" t="s">
        <v>91</v>
      </c>
    </row>
    <row r="43" spans="1:1" x14ac:dyDescent="0.35">
      <c r="A43" s="2" t="s">
        <v>92</v>
      </c>
    </row>
    <row r="44" spans="1:1" x14ac:dyDescent="0.35">
      <c r="A44" s="4" t="s">
        <v>93</v>
      </c>
    </row>
    <row r="45" spans="1:1" x14ac:dyDescent="0.35">
      <c r="A45" s="4" t="s">
        <v>94</v>
      </c>
    </row>
    <row r="46" spans="1:1" x14ac:dyDescent="0.35">
      <c r="A46" s="4" t="s">
        <v>95</v>
      </c>
    </row>
    <row r="47" spans="1:1" x14ac:dyDescent="0.35">
      <c r="A47" s="4" t="s">
        <v>96</v>
      </c>
    </row>
    <row r="48" spans="1:1" x14ac:dyDescent="0.35">
      <c r="A48" s="2" t="s">
        <v>97</v>
      </c>
    </row>
    <row r="49" spans="1:1" x14ac:dyDescent="0.35">
      <c r="A49" s="4" t="s">
        <v>98</v>
      </c>
    </row>
    <row r="50" spans="1:1" x14ac:dyDescent="0.35">
      <c r="A50" s="4" t="s">
        <v>99</v>
      </c>
    </row>
    <row r="51" spans="1:1" x14ac:dyDescent="0.35">
      <c r="A51" s="4" t="s">
        <v>100</v>
      </c>
    </row>
    <row r="52" spans="1:1" x14ac:dyDescent="0.35">
      <c r="A52" s="4" t="s">
        <v>101</v>
      </c>
    </row>
    <row r="53" spans="1:1" x14ac:dyDescent="0.35">
      <c r="A53" s="4" t="s">
        <v>102</v>
      </c>
    </row>
    <row r="54" spans="1:1" x14ac:dyDescent="0.35">
      <c r="A54" s="4" t="s">
        <v>103</v>
      </c>
    </row>
    <row r="55" spans="1:1" x14ac:dyDescent="0.35">
      <c r="A55" s="4" t="s">
        <v>104</v>
      </c>
    </row>
    <row r="56" spans="1:1" x14ac:dyDescent="0.35">
      <c r="A56" s="4" t="s">
        <v>105</v>
      </c>
    </row>
    <row r="57" spans="1:1" x14ac:dyDescent="0.35">
      <c r="A57" s="4" t="s">
        <v>106</v>
      </c>
    </row>
    <row r="58" spans="1:1" x14ac:dyDescent="0.35">
      <c r="A58" s="4" t="s">
        <v>107</v>
      </c>
    </row>
    <row r="59" spans="1:1" x14ac:dyDescent="0.35">
      <c r="A59" s="4" t="s">
        <v>108</v>
      </c>
    </row>
    <row r="60" spans="1:1" x14ac:dyDescent="0.35">
      <c r="A60" s="4" t="s">
        <v>109</v>
      </c>
    </row>
    <row r="61" spans="1:1" x14ac:dyDescent="0.35">
      <c r="A61" s="2" t="s">
        <v>110</v>
      </c>
    </row>
    <row r="62" spans="1:1" x14ac:dyDescent="0.35">
      <c r="A62" s="4" t="s">
        <v>111</v>
      </c>
    </row>
    <row r="63" spans="1:1" x14ac:dyDescent="0.35">
      <c r="A63" s="4" t="s">
        <v>112</v>
      </c>
    </row>
    <row r="64" spans="1:1" x14ac:dyDescent="0.35">
      <c r="A64" s="4" t="s">
        <v>113</v>
      </c>
    </row>
    <row r="65" spans="1:1" x14ac:dyDescent="0.35">
      <c r="A65" s="4" t="s">
        <v>114</v>
      </c>
    </row>
    <row r="66" spans="1:1" x14ac:dyDescent="0.35">
      <c r="A66" s="4" t="s">
        <v>115</v>
      </c>
    </row>
    <row r="67" spans="1:1" x14ac:dyDescent="0.35">
      <c r="A67" s="4" t="s">
        <v>116</v>
      </c>
    </row>
    <row r="68" spans="1:1" x14ac:dyDescent="0.35">
      <c r="A68" s="4" t="s">
        <v>117</v>
      </c>
    </row>
    <row r="69" spans="1:1" x14ac:dyDescent="0.35">
      <c r="A69" s="4" t="s">
        <v>118</v>
      </c>
    </row>
    <row r="70" spans="1:1" x14ac:dyDescent="0.35">
      <c r="A70" s="4" t="s">
        <v>119</v>
      </c>
    </row>
    <row r="71" spans="1:1" x14ac:dyDescent="0.35">
      <c r="A71" s="4" t="s">
        <v>120</v>
      </c>
    </row>
    <row r="72" spans="1:1" x14ac:dyDescent="0.35">
      <c r="A72" s="4" t="s">
        <v>121</v>
      </c>
    </row>
    <row r="73" spans="1:1" x14ac:dyDescent="0.35">
      <c r="A73" s="4" t="s">
        <v>122</v>
      </c>
    </row>
    <row r="74" spans="1:1" x14ac:dyDescent="0.35">
      <c r="A74" s="2" t="s">
        <v>123</v>
      </c>
    </row>
    <row r="75" spans="1:1" x14ac:dyDescent="0.35">
      <c r="A75" s="4" t="s">
        <v>124</v>
      </c>
    </row>
    <row r="76" spans="1:1" x14ac:dyDescent="0.35">
      <c r="A76" s="4" t="s">
        <v>125</v>
      </c>
    </row>
    <row r="77" spans="1:1" x14ac:dyDescent="0.35">
      <c r="A77" s="4" t="s">
        <v>126</v>
      </c>
    </row>
    <row r="78" spans="1:1" x14ac:dyDescent="0.35">
      <c r="A78" s="2" t="s">
        <v>127</v>
      </c>
    </row>
    <row r="79" spans="1:1" x14ac:dyDescent="0.35">
      <c r="A79" s="4" t="s">
        <v>128</v>
      </c>
    </row>
    <row r="80" spans="1:1" x14ac:dyDescent="0.35">
      <c r="A80" s="4" t="s">
        <v>129</v>
      </c>
    </row>
    <row r="81" spans="1:1" x14ac:dyDescent="0.35">
      <c r="A81" s="4" t="s">
        <v>130</v>
      </c>
    </row>
    <row r="82" spans="1:1" x14ac:dyDescent="0.35">
      <c r="A82" s="4" t="s">
        <v>131</v>
      </c>
    </row>
    <row r="83" spans="1:1" x14ac:dyDescent="0.35">
      <c r="A83" s="4" t="s">
        <v>132</v>
      </c>
    </row>
    <row r="84" spans="1:1" x14ac:dyDescent="0.35">
      <c r="A84" s="4" t="s">
        <v>133</v>
      </c>
    </row>
    <row r="85" spans="1:1" x14ac:dyDescent="0.35">
      <c r="A85" s="4" t="s">
        <v>134</v>
      </c>
    </row>
    <row r="86" spans="1:1" x14ac:dyDescent="0.35">
      <c r="A86" s="4" t="s">
        <v>135</v>
      </c>
    </row>
    <row r="87" spans="1:1" x14ac:dyDescent="0.35">
      <c r="A87" s="4" t="s">
        <v>136</v>
      </c>
    </row>
    <row r="88" spans="1:1" x14ac:dyDescent="0.35">
      <c r="A88" s="4" t="s">
        <v>137</v>
      </c>
    </row>
    <row r="89" spans="1:1" x14ac:dyDescent="0.35">
      <c r="A89" s="4" t="s">
        <v>138</v>
      </c>
    </row>
    <row r="90" spans="1:1" x14ac:dyDescent="0.35">
      <c r="A90" s="4" t="s">
        <v>139</v>
      </c>
    </row>
    <row r="91" spans="1:1" x14ac:dyDescent="0.35">
      <c r="A91" s="4" t="s">
        <v>140</v>
      </c>
    </row>
    <row r="92" spans="1:1" x14ac:dyDescent="0.35">
      <c r="A92" s="4" t="s">
        <v>141</v>
      </c>
    </row>
    <row r="93" spans="1:1" x14ac:dyDescent="0.35">
      <c r="A93" s="4" t="s">
        <v>142</v>
      </c>
    </row>
    <row r="94" spans="1:1" x14ac:dyDescent="0.35">
      <c r="A94" s="2" t="s">
        <v>143</v>
      </c>
    </row>
    <row r="95" spans="1:1" x14ac:dyDescent="0.35">
      <c r="A95" s="4" t="s">
        <v>144</v>
      </c>
    </row>
    <row r="96" spans="1:1" x14ac:dyDescent="0.35">
      <c r="A96" s="4" t="s">
        <v>145</v>
      </c>
    </row>
    <row r="97" spans="1:1" x14ac:dyDescent="0.35">
      <c r="A97" s="4" t="s">
        <v>146</v>
      </c>
    </row>
    <row r="98" spans="1:1" x14ac:dyDescent="0.35">
      <c r="A98" s="4" t="s">
        <v>147</v>
      </c>
    </row>
    <row r="99" spans="1:1" x14ac:dyDescent="0.35">
      <c r="A99" s="4" t="s">
        <v>148</v>
      </c>
    </row>
    <row r="100" spans="1:1" x14ac:dyDescent="0.35">
      <c r="A100" s="4" t="s">
        <v>149</v>
      </c>
    </row>
    <row r="101" spans="1:1" x14ac:dyDescent="0.35">
      <c r="A101" s="4" t="s">
        <v>150</v>
      </c>
    </row>
    <row r="102" spans="1:1" x14ac:dyDescent="0.35">
      <c r="A102" s="4" t="s">
        <v>151</v>
      </c>
    </row>
    <row r="103" spans="1:1" x14ac:dyDescent="0.35">
      <c r="A103" s="4" t="s">
        <v>152</v>
      </c>
    </row>
    <row r="104" spans="1:1" x14ac:dyDescent="0.35">
      <c r="A104" s="4" t="s">
        <v>153</v>
      </c>
    </row>
    <row r="105" spans="1:1" x14ac:dyDescent="0.35">
      <c r="A105" s="4" t="s">
        <v>154</v>
      </c>
    </row>
    <row r="106" spans="1:1" x14ac:dyDescent="0.35">
      <c r="A106" s="4" t="s">
        <v>155</v>
      </c>
    </row>
    <row r="107" spans="1:1" x14ac:dyDescent="0.35">
      <c r="A107" s="4" t="s">
        <v>156</v>
      </c>
    </row>
    <row r="108" spans="1:1" x14ac:dyDescent="0.35">
      <c r="A108" s="4" t="s">
        <v>157</v>
      </c>
    </row>
    <row r="109" spans="1:1" x14ac:dyDescent="0.35">
      <c r="A109" s="4" t="s">
        <v>158</v>
      </c>
    </row>
    <row r="110" spans="1:1" x14ac:dyDescent="0.35">
      <c r="A110" s="4" t="s">
        <v>159</v>
      </c>
    </row>
    <row r="111" spans="1:1" x14ac:dyDescent="0.35">
      <c r="A111" s="2" t="s">
        <v>160</v>
      </c>
    </row>
    <row r="112" spans="1:1" x14ac:dyDescent="0.35">
      <c r="A112" s="4" t="s">
        <v>161</v>
      </c>
    </row>
    <row r="113" spans="1:1" x14ac:dyDescent="0.35">
      <c r="A113" s="4" t="s">
        <v>162</v>
      </c>
    </row>
    <row r="114" spans="1:1" x14ac:dyDescent="0.35">
      <c r="A114" s="4" t="s">
        <v>163</v>
      </c>
    </row>
    <row r="115" spans="1:1" x14ac:dyDescent="0.35">
      <c r="A115" s="4" t="s">
        <v>164</v>
      </c>
    </row>
    <row r="116" spans="1:1" x14ac:dyDescent="0.35">
      <c r="A116" s="4" t="s">
        <v>165</v>
      </c>
    </row>
    <row r="117" spans="1:1" x14ac:dyDescent="0.35">
      <c r="A117" s="4" t="s">
        <v>166</v>
      </c>
    </row>
    <row r="118" spans="1:1" x14ac:dyDescent="0.35">
      <c r="A118" s="4" t="s">
        <v>167</v>
      </c>
    </row>
    <row r="119" spans="1:1" x14ac:dyDescent="0.35">
      <c r="A119" s="4" t="s">
        <v>168</v>
      </c>
    </row>
    <row r="120" spans="1:1" x14ac:dyDescent="0.35">
      <c r="A120" s="4" t="s">
        <v>169</v>
      </c>
    </row>
    <row r="121" spans="1:1" x14ac:dyDescent="0.35">
      <c r="A121" s="4" t="s">
        <v>170</v>
      </c>
    </row>
    <row r="122" spans="1:1" x14ac:dyDescent="0.35">
      <c r="A122" s="4" t="s">
        <v>171</v>
      </c>
    </row>
    <row r="123" spans="1:1" x14ac:dyDescent="0.35">
      <c r="A123" s="4" t="s">
        <v>172</v>
      </c>
    </row>
    <row r="124" spans="1:1" x14ac:dyDescent="0.35">
      <c r="A124" s="4" t="s">
        <v>173</v>
      </c>
    </row>
    <row r="125" spans="1:1" x14ac:dyDescent="0.35">
      <c r="A125" s="2" t="s">
        <v>174</v>
      </c>
    </row>
    <row r="126" spans="1:1" x14ac:dyDescent="0.35">
      <c r="A126" s="4" t="s">
        <v>175</v>
      </c>
    </row>
    <row r="127" spans="1:1" x14ac:dyDescent="0.35">
      <c r="A127" s="4" t="s">
        <v>176</v>
      </c>
    </row>
    <row r="128" spans="1:1" x14ac:dyDescent="0.35">
      <c r="A128" s="4" t="s">
        <v>177</v>
      </c>
    </row>
    <row r="129" spans="1:1" x14ac:dyDescent="0.35">
      <c r="A129" s="4" t="s">
        <v>178</v>
      </c>
    </row>
    <row r="130" spans="1:1" x14ac:dyDescent="0.35">
      <c r="A130" s="2" t="s">
        <v>179</v>
      </c>
    </row>
    <row r="131" spans="1:1" x14ac:dyDescent="0.35">
      <c r="A131" s="4" t="s">
        <v>180</v>
      </c>
    </row>
    <row r="132" spans="1:1" x14ac:dyDescent="0.35">
      <c r="A132" s="4" t="s">
        <v>181</v>
      </c>
    </row>
    <row r="133" spans="1:1" x14ac:dyDescent="0.35">
      <c r="A133" s="4" t="s">
        <v>182</v>
      </c>
    </row>
    <row r="134" spans="1:1" x14ac:dyDescent="0.35">
      <c r="A134" s="4" t="s">
        <v>183</v>
      </c>
    </row>
    <row r="135" spans="1:1" x14ac:dyDescent="0.35">
      <c r="A135" s="2" t="s">
        <v>184</v>
      </c>
    </row>
    <row r="136" spans="1:1" x14ac:dyDescent="0.35">
      <c r="A136" s="4" t="s">
        <v>185</v>
      </c>
    </row>
    <row r="137" spans="1:1" x14ac:dyDescent="0.35">
      <c r="A137" s="4" t="s">
        <v>186</v>
      </c>
    </row>
    <row r="138" spans="1:1" x14ac:dyDescent="0.35">
      <c r="A138" s="4" t="s">
        <v>187</v>
      </c>
    </row>
    <row r="139" spans="1:1" x14ac:dyDescent="0.35">
      <c r="A139" s="4" t="s">
        <v>188</v>
      </c>
    </row>
    <row r="140" spans="1:1" x14ac:dyDescent="0.35">
      <c r="A140" s="4" t="s">
        <v>189</v>
      </c>
    </row>
    <row r="141" spans="1:1" x14ac:dyDescent="0.35">
      <c r="A141" s="4" t="s">
        <v>190</v>
      </c>
    </row>
    <row r="142" spans="1:1" x14ac:dyDescent="0.35">
      <c r="A142" s="4" t="s">
        <v>191</v>
      </c>
    </row>
    <row r="143" spans="1:1" x14ac:dyDescent="0.35">
      <c r="A143" s="4" t="s">
        <v>192</v>
      </c>
    </row>
    <row r="144" spans="1:1" x14ac:dyDescent="0.35">
      <c r="A144" s="4" t="s">
        <v>193</v>
      </c>
    </row>
    <row r="145" spans="1:1" x14ac:dyDescent="0.35">
      <c r="A145" s="4" t="s">
        <v>194</v>
      </c>
    </row>
    <row r="146" spans="1:1" x14ac:dyDescent="0.35">
      <c r="A146" s="4" t="s">
        <v>195</v>
      </c>
    </row>
    <row r="147" spans="1:1" x14ac:dyDescent="0.35">
      <c r="A147" s="4" t="s">
        <v>196</v>
      </c>
    </row>
    <row r="148" spans="1:1" x14ac:dyDescent="0.35">
      <c r="A148" s="4" t="s">
        <v>197</v>
      </c>
    </row>
    <row r="149" spans="1:1" x14ac:dyDescent="0.35">
      <c r="A149" s="4" t="s">
        <v>198</v>
      </c>
    </row>
    <row r="150" spans="1:1" x14ac:dyDescent="0.35">
      <c r="A150" s="4" t="s">
        <v>199</v>
      </c>
    </row>
    <row r="151" spans="1:1" x14ac:dyDescent="0.35">
      <c r="A151" s="4" t="s">
        <v>200</v>
      </c>
    </row>
    <row r="152" spans="1:1" x14ac:dyDescent="0.35">
      <c r="A152" s="2" t="s">
        <v>201</v>
      </c>
    </row>
    <row r="153" spans="1:1" x14ac:dyDescent="0.35">
      <c r="A153" s="4" t="s">
        <v>202</v>
      </c>
    </row>
    <row r="154" spans="1:1" x14ac:dyDescent="0.35">
      <c r="A154" s="4" t="s">
        <v>203</v>
      </c>
    </row>
    <row r="155" spans="1:1" x14ac:dyDescent="0.35">
      <c r="A155" s="4" t="s">
        <v>204</v>
      </c>
    </row>
    <row r="156" spans="1:1" x14ac:dyDescent="0.35">
      <c r="A156" s="4" t="s">
        <v>205</v>
      </c>
    </row>
    <row r="157" spans="1:1" x14ac:dyDescent="0.35">
      <c r="A157" s="4" t="s">
        <v>206</v>
      </c>
    </row>
    <row r="158" spans="1:1" x14ac:dyDescent="0.35">
      <c r="A158" s="4" t="s">
        <v>207</v>
      </c>
    </row>
    <row r="159" spans="1:1" x14ac:dyDescent="0.35">
      <c r="A159" s="5" t="s">
        <v>208</v>
      </c>
    </row>
    <row r="160" spans="1:1" x14ac:dyDescent="0.35">
      <c r="A160" s="4" t="s">
        <v>209</v>
      </c>
    </row>
    <row r="161" spans="1:1" x14ac:dyDescent="0.35">
      <c r="A161" s="4" t="s">
        <v>210</v>
      </c>
    </row>
    <row r="162" spans="1:1" x14ac:dyDescent="0.35">
      <c r="A162" s="4" t="s">
        <v>211</v>
      </c>
    </row>
    <row r="163" spans="1:1" x14ac:dyDescent="0.35">
      <c r="A163" s="4" t="s">
        <v>212</v>
      </c>
    </row>
    <row r="164" spans="1:1" x14ac:dyDescent="0.35">
      <c r="A164" s="4" t="s">
        <v>213</v>
      </c>
    </row>
  </sheetData>
  <sheetProtection algorithmName="SHA-512" hashValue="B7qP5ZqlEuePda6HN+pDXkhE050c1kWqqTzRQmvhwhRX8Re9klHZ5l6p1Faz4zXyId+/sGe+3FTrceYDNPT0iQ==" saltValue="Pa8pIoDB7dbG5Qw8cG+DP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Invoice</vt:lpstr>
      <vt:lpstr>Form Instructions</vt:lpstr>
      <vt:lpstr>Repair 1</vt:lpstr>
      <vt:lpstr>Repair 2</vt:lpstr>
      <vt:lpstr>Repair 3</vt:lpstr>
      <vt:lpstr>Repair 4</vt:lpstr>
      <vt:lpstr>Repair 5</vt:lpstr>
      <vt:lpstr>Dropdown</vt:lpstr>
      <vt:lpstr>Invoice!Print_Area</vt:lpstr>
      <vt:lpstr>'Repair 1'!Print_Area</vt:lpstr>
      <vt:lpstr>'Repair 2'!Print_Area</vt:lpstr>
      <vt:lpstr>'Repair 3'!Print_Area</vt:lpstr>
      <vt:lpstr>'Repair 4'!Print_Area</vt:lpstr>
      <vt:lpstr>'Repair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Cone, Joshua@DCA</dc:creator>
  <cp:lastModifiedBy>Rankin, Rae@DCA</cp:lastModifiedBy>
  <cp:lastPrinted>2024-11-01T18:26:06Z</cp:lastPrinted>
  <dcterms:created xsi:type="dcterms:W3CDTF">2019-07-23T20:44:24Z</dcterms:created>
  <dcterms:modified xsi:type="dcterms:W3CDTF">2024-12-24T19:21:06Z</dcterms:modified>
</cp:coreProperties>
</file>